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405" windowWidth="15120" windowHeight="7710"/>
  </bookViews>
  <sheets>
    <sheet name="01.01.2022 прирів." sheetId="28" r:id="rId1"/>
    <sheet name="01.01.2022 інші" sheetId="27" r:id="rId2"/>
  </sheets>
  <definedNames>
    <definedName name="_xlnm.Print_Area" localSheetId="1">'01.01.2022 інші'!$A$1:$O$52</definedName>
  </definedNames>
  <calcPr calcId="144525" refMode="R1C1"/>
</workbook>
</file>

<file path=xl/calcChain.xml><?xml version="1.0" encoding="utf-8"?>
<calcChain xmlns="http://schemas.openxmlformats.org/spreadsheetml/2006/main">
  <c r="G39" i="27" l="1"/>
  <c r="H39" i="27"/>
  <c r="I39" i="27"/>
  <c r="J39" i="27"/>
  <c r="K39" i="27"/>
  <c r="L39" i="27"/>
  <c r="M39" i="27"/>
  <c r="N39" i="27"/>
  <c r="O39" i="27"/>
  <c r="F39" i="27"/>
  <c r="C39" i="27"/>
  <c r="C28" i="28"/>
  <c r="G28" i="28"/>
  <c r="H28" i="28"/>
  <c r="I28" i="28"/>
  <c r="J28" i="28"/>
  <c r="K28" i="28"/>
  <c r="L28" i="28"/>
  <c r="M28" i="28"/>
  <c r="N28" i="28"/>
  <c r="O28" i="28"/>
  <c r="F28" i="28"/>
  <c r="M27" i="28"/>
  <c r="L27" i="28"/>
  <c r="J27" i="28"/>
  <c r="C27" i="28"/>
  <c r="I26" i="28"/>
  <c r="N26" i="28" s="1"/>
  <c r="O26" i="28" s="1"/>
  <c r="H26" i="28"/>
  <c r="F26" i="28"/>
  <c r="I25" i="28"/>
  <c r="H25" i="28"/>
  <c r="F25" i="28"/>
  <c r="I24" i="28"/>
  <c r="H24" i="28"/>
  <c r="I23" i="28"/>
  <c r="N23" i="28" s="1"/>
  <c r="O23" i="28" s="1"/>
  <c r="H23" i="28"/>
  <c r="I22" i="28"/>
  <c r="H22" i="28"/>
  <c r="F22" i="28"/>
  <c r="K21" i="28"/>
  <c r="K27" i="28" s="1"/>
  <c r="G21" i="28"/>
  <c r="G27" i="28" s="1"/>
  <c r="E20" i="28"/>
  <c r="O19" i="28"/>
  <c r="I19" i="28"/>
  <c r="H19" i="28"/>
  <c r="N19" i="28" s="1"/>
  <c r="N22" i="28" l="1"/>
  <c r="O22" i="28" s="1"/>
  <c r="H20" i="28"/>
  <c r="F20" i="28"/>
  <c r="F27" i="28" s="1"/>
  <c r="N24" i="28"/>
  <c r="O24" i="28" s="1"/>
  <c r="I20" i="28"/>
  <c r="N21" i="28"/>
  <c r="O21" i="28" s="1"/>
  <c r="N25" i="28"/>
  <c r="O25" i="28" s="1"/>
  <c r="I27" i="28"/>
  <c r="N20" i="28" l="1"/>
  <c r="H27" i="28"/>
  <c r="M32" i="27"/>
  <c r="L25" i="27"/>
  <c r="L29" i="27" s="1"/>
  <c r="M36" i="27"/>
  <c r="N36" i="27" s="1"/>
  <c r="M35" i="27"/>
  <c r="M34" i="27"/>
  <c r="M33" i="27"/>
  <c r="M31" i="27"/>
  <c r="M30" i="27"/>
  <c r="N30" i="27" s="1"/>
  <c r="O30" i="27" s="1"/>
  <c r="M28" i="27"/>
  <c r="M27" i="27"/>
  <c r="N27" i="27" s="1"/>
  <c r="O27" i="27" s="1"/>
  <c r="M26" i="27"/>
  <c r="N26" i="27" s="1"/>
  <c r="O26" i="27" s="1"/>
  <c r="M22" i="27"/>
  <c r="M21" i="27"/>
  <c r="M20" i="27"/>
  <c r="E38" i="27"/>
  <c r="L37" i="27"/>
  <c r="K37" i="27"/>
  <c r="I37" i="27"/>
  <c r="H37" i="27"/>
  <c r="G37" i="27"/>
  <c r="C37" i="27"/>
  <c r="N35" i="27"/>
  <c r="O35" i="27" s="1"/>
  <c r="N34" i="27"/>
  <c r="J33" i="27"/>
  <c r="F32" i="27"/>
  <c r="J31" i="27"/>
  <c r="J29" i="27"/>
  <c r="I29" i="27"/>
  <c r="G29" i="27"/>
  <c r="G38" i="27" s="1"/>
  <c r="C29" i="27"/>
  <c r="C38" i="27" s="1"/>
  <c r="N28" i="27"/>
  <c r="O28" i="27" s="1"/>
  <c r="F24" i="27"/>
  <c r="M24" i="27" s="1"/>
  <c r="H23" i="27"/>
  <c r="H29" i="27" s="1"/>
  <c r="F23" i="27"/>
  <c r="M23" i="27" s="1"/>
  <c r="N22" i="27"/>
  <c r="O22" i="27" s="1"/>
  <c r="N21" i="27"/>
  <c r="K20" i="27"/>
  <c r="K19" i="27"/>
  <c r="N19" i="27" s="1"/>
  <c r="O19" i="27" s="1"/>
  <c r="H38" i="27" l="1"/>
  <c r="I38" i="27"/>
  <c r="N33" i="27"/>
  <c r="O33" i="27" s="1"/>
  <c r="O20" i="28"/>
  <c r="O27" i="28" s="1"/>
  <c r="N27" i="28"/>
  <c r="O21" i="27"/>
  <c r="L38" i="27"/>
  <c r="O34" i="27"/>
  <c r="O36" i="27"/>
  <c r="M25" i="27"/>
  <c r="N25" i="27" s="1"/>
  <c r="J37" i="27"/>
  <c r="J38" i="27" s="1"/>
  <c r="N31" i="27"/>
  <c r="N24" i="27"/>
  <c r="F29" i="27"/>
  <c r="N23" i="27"/>
  <c r="K29" i="27"/>
  <c r="K38" i="27" s="1"/>
  <c r="N32" i="27"/>
  <c r="O32" i="27" s="1"/>
  <c r="N20" i="27"/>
  <c r="O20" i="27" s="1"/>
  <c r="M37" i="27"/>
  <c r="F37" i="27"/>
  <c r="M29" i="27" l="1"/>
  <c r="O25" i="27"/>
  <c r="O23" i="27"/>
  <c r="O24" i="27"/>
  <c r="O29" i="27" s="1"/>
  <c r="O31" i="27"/>
  <c r="O37" i="27" s="1"/>
  <c r="F38" i="27"/>
  <c r="N37" i="27"/>
  <c r="M38" i="27"/>
  <c r="N29" i="27"/>
  <c r="N38" i="27"/>
  <c r="O38" i="27" l="1"/>
</calcChain>
</file>

<file path=xl/sharedStrings.xml><?xml version="1.0" encoding="utf-8"?>
<sst xmlns="http://schemas.openxmlformats.org/spreadsheetml/2006/main" count="103" uniqueCount="63">
  <si>
    <t>№ п/п</t>
  </si>
  <si>
    <t>Назва структурного підрозділу та посад</t>
  </si>
  <si>
    <t>Кількість штатних посад</t>
  </si>
  <si>
    <t>Посадовий оклад</t>
  </si>
  <si>
    <t>до мін. з/п</t>
  </si>
  <si>
    <t>Фонд заробітної плати на місяць (грн)</t>
  </si>
  <si>
    <t>Всього</t>
  </si>
  <si>
    <t>Директор</t>
  </si>
  <si>
    <t>Бібліотекар</t>
  </si>
  <si>
    <t>Прибир. служ. прим.</t>
  </si>
  <si>
    <t>Сторож</t>
  </si>
  <si>
    <t>Секретар</t>
  </si>
  <si>
    <t>Кухар</t>
  </si>
  <si>
    <t>Двірник</t>
  </si>
  <si>
    <t>Підсобний робітник</t>
  </si>
  <si>
    <t>Оператор котельні</t>
  </si>
  <si>
    <t>М.П.</t>
  </si>
  <si>
    <t>(число, місяць, рік)</t>
  </si>
  <si>
    <t>(посада)</t>
  </si>
  <si>
    <t>__________________</t>
  </si>
  <si>
    <t>(ініціали і прізвище)</t>
  </si>
  <si>
    <t>*</t>
  </si>
  <si>
    <t>(підпис)</t>
  </si>
  <si>
    <t>із місячним фондом заробітної плати</t>
  </si>
  <si>
    <t>Головний бухгалтер</t>
  </si>
  <si>
    <t>Бухгалтер</t>
  </si>
  <si>
    <t>Сестра медична</t>
  </si>
  <si>
    <t>Робітник з комплексного обслуговування і ремонту будинків</t>
  </si>
  <si>
    <t>Інженер з комп'ютерних систем</t>
  </si>
  <si>
    <t>Заст. дир. з НВР</t>
  </si>
  <si>
    <t>Зав. господарством</t>
  </si>
  <si>
    <t>Електромонтер з ремонту та обслуговування електроустаткування</t>
  </si>
  <si>
    <t>Комірник</t>
  </si>
  <si>
    <t>Всього спец.</t>
  </si>
  <si>
    <t>Всього МОП</t>
  </si>
  <si>
    <t>Розряд</t>
  </si>
  <si>
    <t>Надбавки, доплати (грн.)</t>
  </si>
  <si>
    <t>Всього спец.+МОП</t>
  </si>
  <si>
    <t>Сестра медична с дієт. Харчування</t>
  </si>
  <si>
    <t xml:space="preserve">Всього віднесені </t>
  </si>
  <si>
    <t>У.О. Прозоро</t>
  </si>
  <si>
    <t>ПОГОДЖЕНО</t>
  </si>
  <si>
    <r>
      <rPr>
        <sz val="11"/>
        <rFont val="Times New Roman"/>
        <family val="1"/>
        <charset val="204"/>
      </rPr>
      <t>(назва установи</t>
    </r>
    <r>
      <rPr>
        <u/>
        <sz val="11"/>
        <rFont val="Times New Roman"/>
        <family val="1"/>
        <charset val="204"/>
      </rPr>
      <t>)</t>
    </r>
  </si>
  <si>
    <t>МаринаІВАНЕНКО</t>
  </si>
  <si>
    <t>ЗАТВЕРДЖУЮ</t>
  </si>
  <si>
    <t>Новомиколаївський ліцей</t>
  </si>
  <si>
    <t>АллаШТАБЛАВА</t>
  </si>
  <si>
    <t>Вихователь</t>
  </si>
  <si>
    <t>Соціальний педагог</t>
  </si>
  <si>
    <t>Практичний психолог</t>
  </si>
  <si>
    <t>Педагог організатор</t>
  </si>
  <si>
    <t>Керівник гуртку</t>
  </si>
  <si>
    <t>Фонд заробітної плати на 2022 рік (грн)</t>
  </si>
  <si>
    <t>Штатний розпис  з 01.01.2022 рік</t>
  </si>
  <si>
    <t>Начальник фінансового відділу</t>
  </si>
  <si>
    <r>
      <t xml:space="preserve">штат кількість </t>
    </r>
    <r>
      <rPr>
        <u/>
        <sz val="14"/>
        <rFont val="Times New Roman"/>
        <family val="1"/>
        <charset val="204"/>
      </rPr>
      <t xml:space="preserve"> 6</t>
    </r>
    <r>
      <rPr>
        <sz val="14"/>
        <rFont val="Times New Roman"/>
        <family val="1"/>
        <charset val="204"/>
      </rPr>
      <t xml:space="preserve"> штатних одиниць</t>
    </r>
  </si>
  <si>
    <t>68844,73 грн.</t>
  </si>
  <si>
    <t>Голова сільської ради</t>
  </si>
  <si>
    <t>Григорій АНДРЄЄВ</t>
  </si>
  <si>
    <t>________</t>
  </si>
  <si>
    <t>Олена ПІЩАНА</t>
  </si>
  <si>
    <r>
      <t xml:space="preserve">штат кількість </t>
    </r>
    <r>
      <rPr>
        <u/>
        <sz val="14"/>
        <rFont val="Times New Roman"/>
        <family val="1"/>
        <charset val="204"/>
      </rPr>
      <t xml:space="preserve"> 17</t>
    </r>
    <r>
      <rPr>
        <sz val="14"/>
        <rFont val="Times New Roman"/>
        <family val="1"/>
        <charset val="204"/>
      </rPr>
      <t xml:space="preserve"> штатних одиниць</t>
    </r>
  </si>
  <si>
    <t>122387,46 грн.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</si>
</sst>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8"/>
      <name val="Times New Roman"/>
      <family val="1"/>
      <charset val="204"/>
    </font>
    <font>
      <u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2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/>
    <xf numFmtId="0" fontId="4" fillId="2" borderId="0" xfId="0" applyFont="1" applyFill="1" applyAlignment="1"/>
    <xf numFmtId="0" fontId="5" fillId="2" borderId="0" xfId="0" applyFont="1" applyFill="1"/>
    <xf numFmtId="0" fontId="6" fillId="2" borderId="0" xfId="0" applyFont="1" applyFill="1" applyAlignment="1">
      <alignment vertical="top"/>
    </xf>
    <xf numFmtId="0" fontId="5" fillId="2" borderId="0" xfId="0" applyFont="1" applyFill="1" applyAlignment="1"/>
    <xf numFmtId="14" fontId="4" fillId="2" borderId="0" xfId="0" applyNumberFormat="1" applyFont="1" applyFill="1" applyAlignment="1"/>
    <xf numFmtId="0" fontId="5" fillId="2" borderId="0" xfId="0" applyFont="1" applyFill="1" applyAlignment="1">
      <alignment vertical="top"/>
    </xf>
    <xf numFmtId="0" fontId="7" fillId="2" borderId="0" xfId="0" applyFont="1" applyFill="1" applyAlignment="1"/>
    <xf numFmtId="0" fontId="6" fillId="2" borderId="0" xfId="0" applyFont="1" applyFill="1" applyAlignment="1">
      <alignment horizontal="center"/>
    </xf>
    <xf numFmtId="0" fontId="3" fillId="2" borderId="0" xfId="0" applyFont="1" applyFill="1" applyBorder="1" applyAlignment="1"/>
    <xf numFmtId="0" fontId="3" fillId="2" borderId="7" xfId="0" applyFont="1" applyFill="1" applyBorder="1" applyAlignment="1"/>
    <xf numFmtId="9" fontId="2" fillId="2" borderId="1" xfId="0" applyNumberFormat="1" applyFont="1" applyFill="1" applyBorder="1" applyAlignment="1">
      <alignment horizontal="center" wrapText="1"/>
    </xf>
    <xf numFmtId="9" fontId="2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1" fontId="2" fillId="2" borderId="0" xfId="0" applyNumberFormat="1" applyFont="1" applyFill="1"/>
    <xf numFmtId="4" fontId="1" fillId="2" borderId="1" xfId="0" applyNumberFormat="1" applyFont="1" applyFill="1" applyBorder="1" applyAlignment="1">
      <alignment horizontal="center"/>
    </xf>
    <xf numFmtId="2" fontId="2" fillId="2" borderId="0" xfId="0" applyNumberFormat="1" applyFont="1" applyFill="1"/>
    <xf numFmtId="1" fontId="1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right"/>
    </xf>
    <xf numFmtId="2" fontId="2" fillId="2" borderId="0" xfId="0" applyNumberFormat="1" applyFont="1" applyFill="1" applyBorder="1" applyAlignment="1">
      <alignment horizontal="right"/>
    </xf>
    <xf numFmtId="4" fontId="2" fillId="2" borderId="0" xfId="0" applyNumberFormat="1" applyFont="1" applyFill="1" applyBorder="1" applyAlignment="1">
      <alignment horizontal="center"/>
    </xf>
    <xf numFmtId="1" fontId="2" fillId="2" borderId="0" xfId="0" applyNumberFormat="1" applyFont="1" applyFill="1" applyBorder="1" applyAlignment="1">
      <alignment horizontal="right"/>
    </xf>
    <xf numFmtId="0" fontId="2" fillId="2" borderId="0" xfId="0" applyFont="1" applyFill="1" applyBorder="1" applyAlignment="1"/>
    <xf numFmtId="0" fontId="10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left" vertical="top"/>
    </xf>
    <xf numFmtId="0" fontId="8" fillId="2" borderId="0" xfId="0" applyFont="1" applyFill="1"/>
    <xf numFmtId="0" fontId="6" fillId="2" borderId="0" xfId="0" applyFont="1" applyFill="1" applyAlignment="1">
      <alignment horizontal="right" vertical="top"/>
    </xf>
    <xf numFmtId="9" fontId="2" fillId="2" borderId="0" xfId="0" applyNumberFormat="1" applyFont="1" applyFill="1" applyAlignment="1">
      <alignment horizontal="center"/>
    </xf>
    <xf numFmtId="10" fontId="2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right"/>
    </xf>
    <xf numFmtId="0" fontId="9" fillId="0" borderId="1" xfId="0" applyFont="1" applyFill="1" applyBorder="1" applyAlignment="1">
      <alignment horizontal="center"/>
    </xf>
    <xf numFmtId="2" fontId="9" fillId="0" borderId="1" xfId="0" applyNumberFormat="1" applyFont="1" applyFill="1" applyBorder="1" applyAlignment="1">
      <alignment horizontal="center"/>
    </xf>
    <xf numFmtId="0" fontId="9" fillId="0" borderId="1" xfId="0" applyNumberFormat="1" applyFont="1" applyFill="1" applyBorder="1" applyAlignment="1">
      <alignment horizontal="center"/>
    </xf>
    <xf numFmtId="0" fontId="3" fillId="0" borderId="0" xfId="0" applyFont="1" applyFill="1" applyAlignment="1"/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2" fontId="2" fillId="2" borderId="0" xfId="0" applyNumberFormat="1" applyFont="1" applyFill="1" applyBorder="1" applyAlignment="1">
      <alignment horizontal="center"/>
    </xf>
    <xf numFmtId="3" fontId="2" fillId="2" borderId="0" xfId="0" applyNumberFormat="1" applyFont="1" applyFill="1" applyBorder="1" applyAlignment="1">
      <alignment horizontal="right"/>
    </xf>
    <xf numFmtId="0" fontId="2" fillId="2" borderId="0" xfId="0" applyFont="1" applyFill="1" applyAlignment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top"/>
    </xf>
    <xf numFmtId="0" fontId="9" fillId="0" borderId="1" xfId="0" applyFont="1" applyFill="1" applyBorder="1" applyAlignment="1">
      <alignment horizontal="left"/>
    </xf>
    <xf numFmtId="0" fontId="2" fillId="0" borderId="0" xfId="0" applyFont="1" applyFill="1"/>
    <xf numFmtId="9" fontId="9" fillId="0" borderId="1" xfId="0" applyNumberFormat="1" applyFont="1" applyFill="1" applyBorder="1" applyAlignment="1">
      <alignment horizontal="center"/>
    </xf>
    <xf numFmtId="0" fontId="9" fillId="0" borderId="5" xfId="0" applyFont="1" applyFill="1" applyBorder="1" applyAlignment="1">
      <alignment horizontal="left"/>
    </xf>
    <xf numFmtId="2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Fill="1"/>
    <xf numFmtId="2" fontId="2" fillId="0" borderId="0" xfId="0" applyNumberFormat="1" applyFont="1" applyFill="1"/>
    <xf numFmtId="4" fontId="2" fillId="0" borderId="0" xfId="0" applyNumberFormat="1" applyFont="1" applyFill="1"/>
    <xf numFmtId="0" fontId="9" fillId="0" borderId="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2" fillId="2" borderId="0" xfId="0" applyFont="1" applyFill="1" applyAlignment="1"/>
    <xf numFmtId="0" fontId="5" fillId="2" borderId="0" xfId="0" applyFont="1" applyFill="1" applyAlignment="1">
      <alignment horizontal="center" vertical="top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/>
    </xf>
    <xf numFmtId="2" fontId="2" fillId="2" borderId="0" xfId="0" applyNumberFormat="1" applyFont="1" applyFill="1" applyBorder="1" applyAlignment="1">
      <alignment horizontal="center"/>
    </xf>
    <xf numFmtId="3" fontId="2" fillId="2" borderId="0" xfId="0" applyNumberFormat="1" applyFont="1" applyFill="1" applyBorder="1" applyAlignment="1">
      <alignment horizontal="right"/>
    </xf>
    <xf numFmtId="3" fontId="2" fillId="2" borderId="0" xfId="0" applyNumberFormat="1" applyFont="1" applyFill="1" applyBorder="1" applyAlignment="1">
      <alignment horizontal="left"/>
    </xf>
    <xf numFmtId="2" fontId="2" fillId="2" borderId="8" xfId="0" applyNumberFormat="1" applyFont="1" applyFill="1" applyBorder="1" applyAlignment="1">
      <alignment horizontal="center"/>
    </xf>
    <xf numFmtId="2" fontId="2" fillId="2" borderId="0" xfId="0" applyNumberFormat="1" applyFont="1" applyFill="1" applyBorder="1" applyAlignment="1">
      <alignment horizontal="center"/>
    </xf>
    <xf numFmtId="3" fontId="2" fillId="2" borderId="0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center"/>
    </xf>
    <xf numFmtId="3" fontId="2" fillId="2" borderId="0" xfId="0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Alignment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tabSelected="1" topLeftCell="A13" workbookViewId="0">
      <selection activeCell="A34" sqref="A34"/>
    </sheetView>
  </sheetViews>
  <sheetFormatPr defaultColWidth="9.140625" defaultRowHeight="15.75" x14ac:dyDescent="0.25"/>
  <cols>
    <col min="1" max="1" width="6.5703125" style="36" customWidth="1"/>
    <col min="2" max="2" width="45.7109375" style="36" customWidth="1"/>
    <col min="3" max="3" width="16" style="36" customWidth="1"/>
    <col min="4" max="4" width="11.5703125" style="36" customWidth="1"/>
    <col min="5" max="5" width="15" style="36" customWidth="1"/>
    <col min="6" max="6" width="13" style="36" customWidth="1"/>
    <col min="7" max="7" width="11.140625" style="36" bestFit="1" customWidth="1"/>
    <col min="8" max="8" width="15.5703125" style="36" customWidth="1"/>
    <col min="9" max="9" width="14.5703125" style="36" customWidth="1"/>
    <col min="10" max="10" width="15.5703125" style="36" bestFit="1" customWidth="1"/>
    <col min="11" max="11" width="15.7109375" style="36" bestFit="1" customWidth="1"/>
    <col min="12" max="12" width="14.7109375" style="36" customWidth="1"/>
    <col min="13" max="13" width="15.5703125" style="36" customWidth="1"/>
    <col min="14" max="14" width="18.140625" style="36" customWidth="1"/>
    <col min="15" max="15" width="20.85546875" style="36" customWidth="1"/>
    <col min="16" max="16" width="14.140625" style="36" bestFit="1" customWidth="1"/>
    <col min="17" max="17" width="12.5703125" style="36" bestFit="1" customWidth="1"/>
    <col min="18" max="18" width="10.140625" style="36" customWidth="1"/>
    <col min="19" max="19" width="13.85546875" style="36" bestFit="1" customWidth="1"/>
    <col min="20" max="16384" width="9.140625" style="36"/>
  </cols>
  <sheetData>
    <row r="1" spans="1:16" s="4" customFormat="1" ht="20.25" x14ac:dyDescent="0.3">
      <c r="I1" s="88"/>
      <c r="J1" s="88"/>
      <c r="K1" s="68"/>
      <c r="L1" s="88" t="s">
        <v>44</v>
      </c>
      <c r="M1" s="88"/>
    </row>
    <row r="2" spans="1:16" s="5" customFormat="1" ht="18.75" x14ac:dyDescent="0.3">
      <c r="K2" s="6" t="s">
        <v>55</v>
      </c>
      <c r="L2" s="6"/>
      <c r="M2" s="6"/>
      <c r="N2" s="6"/>
      <c r="O2" s="6"/>
    </row>
    <row r="3" spans="1:16" s="5" customFormat="1" ht="18.75" x14ac:dyDescent="0.3">
      <c r="B3" s="5" t="s">
        <v>41</v>
      </c>
      <c r="K3" s="6" t="s">
        <v>23</v>
      </c>
      <c r="L3" s="6"/>
      <c r="M3" s="6"/>
      <c r="N3" s="6"/>
      <c r="O3" s="6"/>
    </row>
    <row r="4" spans="1:16" s="5" customFormat="1" ht="18.75" x14ac:dyDescent="0.3">
      <c r="B4" s="5" t="s">
        <v>54</v>
      </c>
      <c r="I4" s="6"/>
      <c r="J4" s="6"/>
      <c r="K4" s="44" t="s">
        <v>56</v>
      </c>
      <c r="L4" s="6"/>
      <c r="M4" s="6"/>
      <c r="N4" s="6"/>
      <c r="O4" s="6"/>
      <c r="P4" s="6"/>
    </row>
    <row r="5" spans="1:16" s="5" customFormat="1" ht="18.75" x14ac:dyDescent="0.3">
      <c r="B5" s="40" t="s">
        <v>43</v>
      </c>
      <c r="I5" s="7"/>
      <c r="J5" s="7"/>
      <c r="K5" s="7" t="s">
        <v>57</v>
      </c>
      <c r="L5" s="7"/>
      <c r="M5" s="7"/>
      <c r="N5" s="7"/>
      <c r="O5" s="7"/>
    </row>
    <row r="6" spans="1:16" s="8" customFormat="1" ht="15" x14ac:dyDescent="0.25">
      <c r="J6" s="9"/>
      <c r="K6" s="37" t="s">
        <v>18</v>
      </c>
      <c r="L6" s="10"/>
      <c r="M6" s="10"/>
      <c r="N6" s="10"/>
      <c r="O6" s="10"/>
    </row>
    <row r="7" spans="1:16" s="5" customFormat="1" ht="18.75" x14ac:dyDescent="0.3">
      <c r="J7" s="6"/>
      <c r="K7" s="16"/>
      <c r="L7" s="16"/>
      <c r="M7" s="89" t="s">
        <v>58</v>
      </c>
      <c r="N7" s="89"/>
      <c r="O7" s="67"/>
    </row>
    <row r="8" spans="1:16" s="8" customFormat="1" ht="15" x14ac:dyDescent="0.25">
      <c r="J8" s="10" t="s">
        <v>16</v>
      </c>
      <c r="K8" s="10"/>
      <c r="L8" s="10"/>
      <c r="M8" s="90" t="s">
        <v>20</v>
      </c>
      <c r="N8" s="90"/>
      <c r="O8" s="69"/>
    </row>
    <row r="9" spans="1:16" s="5" customFormat="1" ht="18.75" x14ac:dyDescent="0.3">
      <c r="G9" s="6"/>
      <c r="J9" s="7"/>
      <c r="K9" s="11">
        <v>44562</v>
      </c>
      <c r="L9" s="6"/>
      <c r="M9" s="6"/>
      <c r="N9" s="6"/>
      <c r="O9" s="6"/>
    </row>
    <row r="10" spans="1:16" s="8" customFormat="1" ht="15" x14ac:dyDescent="0.25">
      <c r="G10" s="10"/>
      <c r="J10" s="12"/>
      <c r="K10" s="12" t="s">
        <v>17</v>
      </c>
      <c r="L10" s="10"/>
      <c r="M10" s="10"/>
      <c r="N10" s="10"/>
      <c r="O10" s="10"/>
    </row>
    <row r="11" spans="1:16" s="5" customFormat="1" ht="18.75" x14ac:dyDescent="0.3">
      <c r="E11" s="13" t="s">
        <v>53</v>
      </c>
      <c r="F11" s="13"/>
      <c r="G11" s="13"/>
      <c r="H11" s="13"/>
      <c r="I11" s="13"/>
      <c r="J11" s="13"/>
      <c r="K11" s="13"/>
      <c r="L11" s="6"/>
      <c r="M11" s="6"/>
      <c r="N11" s="6"/>
      <c r="O11" s="6"/>
    </row>
    <row r="12" spans="1:16" s="5" customFormat="1" ht="18.75" x14ac:dyDescent="0.3">
      <c r="G12" s="6"/>
      <c r="H12" s="89" t="s">
        <v>45</v>
      </c>
      <c r="I12" s="89"/>
      <c r="J12" s="89"/>
      <c r="K12" s="89"/>
      <c r="L12" s="89"/>
      <c r="M12" s="6"/>
      <c r="N12" s="6"/>
      <c r="O12" s="6"/>
    </row>
    <row r="13" spans="1:16" s="8" customFormat="1" ht="15" x14ac:dyDescent="0.25">
      <c r="G13" s="10"/>
      <c r="H13" s="14"/>
      <c r="I13" s="14"/>
      <c r="J13" s="9"/>
      <c r="K13" s="9" t="s">
        <v>42</v>
      </c>
      <c r="L13" s="10"/>
      <c r="M13" s="10"/>
      <c r="N13" s="10"/>
      <c r="O13" s="10"/>
    </row>
    <row r="14" spans="1:16" s="5" customFormat="1" ht="18.75" x14ac:dyDescent="0.3">
      <c r="H14" s="15"/>
      <c r="I14" s="15"/>
      <c r="J14" s="15"/>
      <c r="K14" s="15"/>
    </row>
    <row r="15" spans="1:16" s="5" customFormat="1" ht="18.75" x14ac:dyDescent="0.3">
      <c r="H15" s="16"/>
      <c r="I15" s="16"/>
      <c r="J15" s="16"/>
      <c r="K15" s="16"/>
    </row>
    <row r="16" spans="1:16" s="72" customFormat="1" ht="40.5" x14ac:dyDescent="0.3">
      <c r="A16" s="70" t="s">
        <v>0</v>
      </c>
      <c r="B16" s="82" t="s">
        <v>1</v>
      </c>
      <c r="C16" s="82" t="s">
        <v>2</v>
      </c>
      <c r="D16" s="91" t="s">
        <v>35</v>
      </c>
      <c r="E16" s="91" t="s">
        <v>3</v>
      </c>
      <c r="F16" s="93" t="s">
        <v>36</v>
      </c>
      <c r="G16" s="94"/>
      <c r="H16" s="94"/>
      <c r="I16" s="94"/>
      <c r="J16" s="94"/>
      <c r="K16" s="94"/>
      <c r="L16" s="94"/>
      <c r="M16" s="95"/>
      <c r="N16" s="82" t="s">
        <v>5</v>
      </c>
      <c r="O16" s="82" t="s">
        <v>52</v>
      </c>
    </row>
    <row r="17" spans="1:18" s="72" customFormat="1" ht="41.25" customHeight="1" x14ac:dyDescent="0.3">
      <c r="A17" s="71"/>
      <c r="B17" s="83"/>
      <c r="C17" s="83"/>
      <c r="D17" s="92"/>
      <c r="E17" s="92"/>
      <c r="F17" s="17">
        <v>0.1</v>
      </c>
      <c r="G17" s="18">
        <v>0.15</v>
      </c>
      <c r="H17" s="18">
        <v>0.2</v>
      </c>
      <c r="I17" s="18">
        <v>0.3</v>
      </c>
      <c r="J17" s="18">
        <v>0.4</v>
      </c>
      <c r="K17" s="18">
        <v>0.5</v>
      </c>
      <c r="L17" s="19" t="s">
        <v>40</v>
      </c>
      <c r="M17" s="20" t="s">
        <v>4</v>
      </c>
      <c r="N17" s="83"/>
      <c r="O17" s="83"/>
      <c r="P17" s="38"/>
      <c r="Q17" s="39"/>
      <c r="R17" s="38"/>
    </row>
    <row r="18" spans="1:18" s="72" customFormat="1" ht="20.25" x14ac:dyDescent="0.3">
      <c r="A18" s="21">
        <v>1</v>
      </c>
      <c r="B18" s="21">
        <v>2</v>
      </c>
      <c r="C18" s="21">
        <v>3</v>
      </c>
      <c r="D18" s="21">
        <v>4</v>
      </c>
      <c r="E18" s="21">
        <v>5</v>
      </c>
      <c r="F18" s="21">
        <v>6</v>
      </c>
      <c r="G18" s="21">
        <v>7</v>
      </c>
      <c r="H18" s="21">
        <v>8</v>
      </c>
      <c r="I18" s="21">
        <v>9</v>
      </c>
      <c r="J18" s="21">
        <v>10</v>
      </c>
      <c r="K18" s="21">
        <v>11</v>
      </c>
      <c r="L18" s="21">
        <v>12</v>
      </c>
      <c r="M18" s="21">
        <v>13</v>
      </c>
      <c r="N18" s="21">
        <v>14</v>
      </c>
      <c r="O18" s="21">
        <v>15</v>
      </c>
    </row>
    <row r="19" spans="1:18" s="56" customFormat="1" ht="23.25" x14ac:dyDescent="0.35">
      <c r="A19" s="41">
        <v>1</v>
      </c>
      <c r="B19" s="55" t="s">
        <v>7</v>
      </c>
      <c r="C19" s="42">
        <v>1</v>
      </c>
      <c r="D19" s="43">
        <v>15</v>
      </c>
      <c r="E19" s="42">
        <v>8210</v>
      </c>
      <c r="F19" s="42"/>
      <c r="G19" s="42"/>
      <c r="H19" s="42">
        <f>E19*20%</f>
        <v>1642</v>
      </c>
      <c r="I19" s="42">
        <f>E19*I17</f>
        <v>2463</v>
      </c>
      <c r="J19" s="42"/>
      <c r="K19" s="42"/>
      <c r="L19" s="42"/>
      <c r="M19" s="42"/>
      <c r="N19" s="42">
        <f>L19+E19+H19+K19+J19++M19+F19+G19+I19</f>
        <v>12315</v>
      </c>
      <c r="O19" s="42">
        <f>N19*12+49260</f>
        <v>197040</v>
      </c>
    </row>
    <row r="20" spans="1:18" s="56" customFormat="1" ht="23.25" x14ac:dyDescent="0.35">
      <c r="A20" s="41">
        <v>2</v>
      </c>
      <c r="B20" s="55" t="s">
        <v>29</v>
      </c>
      <c r="C20" s="42">
        <v>1</v>
      </c>
      <c r="D20" s="57">
        <v>0.95</v>
      </c>
      <c r="E20" s="42">
        <f>E19*95%</f>
        <v>7799.5</v>
      </c>
      <c r="F20" s="42">
        <f>E20*10%</f>
        <v>779.95</v>
      </c>
      <c r="G20" s="42"/>
      <c r="H20" s="42">
        <f>E20*20%</f>
        <v>1559.9</v>
      </c>
      <c r="I20" s="42">
        <f>(E20*I17)</f>
        <v>2339.85</v>
      </c>
      <c r="J20" s="42"/>
      <c r="K20" s="42"/>
      <c r="L20" s="42"/>
      <c r="M20" s="42"/>
      <c r="N20" s="42">
        <f>L20+E20+H20+K20+J20+M20+F20+G20+I20</f>
        <v>12479.2</v>
      </c>
      <c r="O20" s="42">
        <f>N20*12+46800</f>
        <v>196550.40000000002</v>
      </c>
    </row>
    <row r="21" spans="1:18" s="56" customFormat="1" ht="23.25" x14ac:dyDescent="0.35">
      <c r="A21" s="41">
        <v>3</v>
      </c>
      <c r="B21" s="55" t="s">
        <v>8</v>
      </c>
      <c r="C21" s="42">
        <v>0.5</v>
      </c>
      <c r="D21" s="43">
        <v>8</v>
      </c>
      <c r="E21" s="42">
        <v>4745</v>
      </c>
      <c r="F21" s="42"/>
      <c r="G21" s="42">
        <f>(E21/2)*G17</f>
        <v>355.875</v>
      </c>
      <c r="H21" s="42"/>
      <c r="I21" s="42"/>
      <c r="J21" s="42"/>
      <c r="K21" s="42">
        <f>(E21/2)*K17</f>
        <v>1186.25</v>
      </c>
      <c r="L21" s="42"/>
      <c r="M21" s="42"/>
      <c r="N21" s="42">
        <f>E21/2+F21+G21+K21+M21</f>
        <v>3914.625</v>
      </c>
      <c r="O21" s="42">
        <f>N21*12</f>
        <v>46975.5</v>
      </c>
    </row>
    <row r="22" spans="1:18" s="56" customFormat="1" ht="23.25" x14ac:dyDescent="0.35">
      <c r="A22" s="41">
        <v>4</v>
      </c>
      <c r="B22" s="58" t="s">
        <v>47</v>
      </c>
      <c r="C22" s="42">
        <v>1</v>
      </c>
      <c r="D22" s="43">
        <v>14</v>
      </c>
      <c r="E22" s="42">
        <v>7701</v>
      </c>
      <c r="F22" s="42">
        <f>E22*10%</f>
        <v>770.1</v>
      </c>
      <c r="G22" s="42"/>
      <c r="H22" s="42">
        <f>E22*20%</f>
        <v>1540.2</v>
      </c>
      <c r="I22" s="42">
        <f>E22*30%</f>
        <v>2310.2999999999997</v>
      </c>
      <c r="J22" s="42"/>
      <c r="K22" s="42"/>
      <c r="L22" s="42"/>
      <c r="M22" s="42"/>
      <c r="N22" s="42">
        <f>E22+F22+G22+K22+M22+H22+I22</f>
        <v>12321.6</v>
      </c>
      <c r="O22" s="42">
        <f>N22*12+46206</f>
        <v>194065.2</v>
      </c>
    </row>
    <row r="23" spans="1:18" s="56" customFormat="1" ht="23.25" x14ac:dyDescent="0.35">
      <c r="A23" s="41">
        <v>5</v>
      </c>
      <c r="B23" s="58" t="s">
        <v>48</v>
      </c>
      <c r="C23" s="42">
        <v>0.5</v>
      </c>
      <c r="D23" s="43">
        <v>13</v>
      </c>
      <c r="E23" s="42">
        <v>7224</v>
      </c>
      <c r="F23" s="42"/>
      <c r="G23" s="42"/>
      <c r="H23" s="42">
        <f>E23*50%*20%</f>
        <v>722.40000000000009</v>
      </c>
      <c r="I23" s="42">
        <f>E23*50%*30%</f>
        <v>1083.5999999999999</v>
      </c>
      <c r="J23" s="42"/>
      <c r="K23" s="42"/>
      <c r="L23" s="42"/>
      <c r="M23" s="42"/>
      <c r="N23" s="42">
        <f>(E23/2)+F23+G23+K23+M23+I23+H23</f>
        <v>5418</v>
      </c>
      <c r="O23" s="42">
        <f>N23*12</f>
        <v>65016</v>
      </c>
    </row>
    <row r="24" spans="1:18" s="56" customFormat="1" ht="23.25" x14ac:dyDescent="0.35">
      <c r="A24" s="41">
        <v>6</v>
      </c>
      <c r="B24" s="58" t="s">
        <v>49</v>
      </c>
      <c r="C24" s="42">
        <v>0.5</v>
      </c>
      <c r="D24" s="43">
        <v>12</v>
      </c>
      <c r="E24" s="42">
        <v>6746</v>
      </c>
      <c r="F24" s="42"/>
      <c r="G24" s="42"/>
      <c r="H24" s="42">
        <f>E24/2*20%</f>
        <v>674.6</v>
      </c>
      <c r="I24" s="42">
        <f>E24/2*30%</f>
        <v>1011.9</v>
      </c>
      <c r="J24" s="42"/>
      <c r="K24" s="42"/>
      <c r="L24" s="42"/>
      <c r="M24" s="42"/>
      <c r="N24" s="42">
        <f>E24/2+F24+G24+K24+M24+I24+H24</f>
        <v>5059.5</v>
      </c>
      <c r="O24" s="42">
        <f>N24*12</f>
        <v>60714</v>
      </c>
    </row>
    <row r="25" spans="1:18" s="56" customFormat="1" ht="23.25" x14ac:dyDescent="0.35">
      <c r="A25" s="41">
        <v>7</v>
      </c>
      <c r="B25" s="58" t="s">
        <v>50</v>
      </c>
      <c r="C25" s="42">
        <v>1</v>
      </c>
      <c r="D25" s="43">
        <v>14</v>
      </c>
      <c r="E25" s="42">
        <v>7701</v>
      </c>
      <c r="F25" s="42">
        <f>E25*10%</f>
        <v>770.1</v>
      </c>
      <c r="G25" s="42"/>
      <c r="H25" s="42">
        <f>E25*20%</f>
        <v>1540.2</v>
      </c>
      <c r="I25" s="42">
        <f>E25*30%</f>
        <v>2310.2999999999997</v>
      </c>
      <c r="J25" s="42"/>
      <c r="K25" s="42"/>
      <c r="L25" s="42"/>
      <c r="M25" s="42"/>
      <c r="N25" s="42">
        <f>E25+F25+G25+K25+M25+I25+H25</f>
        <v>12321.6</v>
      </c>
      <c r="O25" s="42">
        <f>N25*12+46206</f>
        <v>194065.2</v>
      </c>
    </row>
    <row r="26" spans="1:18" s="56" customFormat="1" ht="23.25" x14ac:dyDescent="0.35">
      <c r="A26" s="41">
        <v>8</v>
      </c>
      <c r="B26" s="58" t="s">
        <v>51</v>
      </c>
      <c r="C26" s="42">
        <v>0.5</v>
      </c>
      <c r="D26" s="43">
        <v>11</v>
      </c>
      <c r="E26" s="42">
        <v>6269</v>
      </c>
      <c r="F26" s="42">
        <f>(E26/2)*10%</f>
        <v>313.45000000000005</v>
      </c>
      <c r="G26" s="42"/>
      <c r="H26" s="42">
        <f>(E26/2)*20%</f>
        <v>626.90000000000009</v>
      </c>
      <c r="I26" s="42">
        <f>(E26/2)*30%</f>
        <v>940.34999999999991</v>
      </c>
      <c r="J26" s="42"/>
      <c r="K26" s="42"/>
      <c r="L26" s="42"/>
      <c r="M26" s="42"/>
      <c r="N26" s="42">
        <f>E26/2+F26+G26+K26+M26+I26+H26</f>
        <v>5015.1999999999989</v>
      </c>
      <c r="O26" s="42">
        <f>N26*12</f>
        <v>60182.399999999987</v>
      </c>
    </row>
    <row r="27" spans="1:18" s="61" customFormat="1" ht="20.25" x14ac:dyDescent="0.3">
      <c r="A27" s="84" t="s">
        <v>39</v>
      </c>
      <c r="B27" s="85"/>
      <c r="C27" s="59">
        <f>C19+C20+C21+C22+C23+C24+C25+C26</f>
        <v>6</v>
      </c>
      <c r="D27" s="60"/>
      <c r="E27" s="59"/>
      <c r="F27" s="59">
        <f>SUM(F19:F26)</f>
        <v>2633.6000000000004</v>
      </c>
      <c r="G27" s="59">
        <f t="shared" ref="G27:O27" si="0">SUM(G19:G26)</f>
        <v>355.875</v>
      </c>
      <c r="H27" s="59">
        <f t="shared" si="0"/>
        <v>8306.2000000000007</v>
      </c>
      <c r="I27" s="59">
        <f t="shared" si="0"/>
        <v>12459.3</v>
      </c>
      <c r="J27" s="59">
        <f t="shared" si="0"/>
        <v>0</v>
      </c>
      <c r="K27" s="59">
        <f t="shared" si="0"/>
        <v>1186.25</v>
      </c>
      <c r="L27" s="59">
        <f t="shared" si="0"/>
        <v>0</v>
      </c>
      <c r="M27" s="59">
        <f t="shared" si="0"/>
        <v>0</v>
      </c>
      <c r="N27" s="59">
        <f t="shared" si="0"/>
        <v>68844.725000000006</v>
      </c>
      <c r="O27" s="59">
        <f t="shared" si="0"/>
        <v>1014608.7000000001</v>
      </c>
    </row>
    <row r="28" spans="1:18" s="4" customFormat="1" ht="20.25" x14ac:dyDescent="0.3">
      <c r="A28" s="86" t="s">
        <v>6</v>
      </c>
      <c r="B28" s="87"/>
      <c r="C28" s="26">
        <f>C27</f>
        <v>6</v>
      </c>
      <c r="D28" s="26"/>
      <c r="E28" s="21" t="s">
        <v>21</v>
      </c>
      <c r="F28" s="26">
        <f>F27</f>
        <v>2633.6000000000004</v>
      </c>
      <c r="G28" s="26">
        <f t="shared" ref="G28:O28" si="1">G27</f>
        <v>355.875</v>
      </c>
      <c r="H28" s="26">
        <f t="shared" si="1"/>
        <v>8306.2000000000007</v>
      </c>
      <c r="I28" s="26">
        <f t="shared" si="1"/>
        <v>12459.3</v>
      </c>
      <c r="J28" s="26">
        <f t="shared" si="1"/>
        <v>0</v>
      </c>
      <c r="K28" s="26">
        <f t="shared" si="1"/>
        <v>1186.25</v>
      </c>
      <c r="L28" s="26">
        <f t="shared" si="1"/>
        <v>0</v>
      </c>
      <c r="M28" s="26">
        <f t="shared" si="1"/>
        <v>0</v>
      </c>
      <c r="N28" s="26">
        <f t="shared" si="1"/>
        <v>68844.725000000006</v>
      </c>
      <c r="O28" s="26">
        <f t="shared" si="1"/>
        <v>1014608.7000000001</v>
      </c>
    </row>
    <row r="29" spans="1:18" s="4" customFormat="1" ht="20.25" x14ac:dyDescent="0.3">
      <c r="A29" s="27"/>
      <c r="B29" s="28"/>
      <c r="C29" s="29"/>
      <c r="D29" s="76"/>
      <c r="E29" s="76"/>
      <c r="F29" s="76"/>
      <c r="G29" s="76"/>
      <c r="H29" s="74"/>
      <c r="I29" s="73"/>
      <c r="J29" s="73"/>
      <c r="K29" s="73"/>
      <c r="L29" s="73"/>
      <c r="M29" s="73"/>
      <c r="N29" s="30"/>
      <c r="O29" s="30"/>
    </row>
    <row r="30" spans="1:18" s="4" customFormat="1" ht="20.25" x14ac:dyDescent="0.3">
      <c r="A30" s="27"/>
      <c r="B30" s="28"/>
      <c r="C30" s="31"/>
      <c r="D30" s="77"/>
      <c r="E30" s="77"/>
      <c r="F30" s="77"/>
      <c r="G30" s="77"/>
      <c r="H30" s="74"/>
      <c r="I30" s="73"/>
      <c r="J30" s="73"/>
      <c r="K30" s="73"/>
      <c r="L30" s="73"/>
      <c r="M30" s="73"/>
      <c r="N30" s="30"/>
      <c r="O30" s="30"/>
    </row>
    <row r="31" spans="1:18" s="4" customFormat="1" ht="20.25" x14ac:dyDescent="0.3">
      <c r="A31" s="32"/>
      <c r="B31" s="74"/>
      <c r="C31" s="78"/>
      <c r="D31" s="78"/>
      <c r="E31" s="78"/>
      <c r="F31" s="78"/>
      <c r="G31" s="78"/>
      <c r="H31" s="74"/>
      <c r="I31" s="74"/>
      <c r="J31" s="30"/>
      <c r="K31" s="73"/>
      <c r="L31" s="73"/>
      <c r="M31" s="73"/>
      <c r="N31" s="30"/>
      <c r="O31" s="30"/>
    </row>
    <row r="32" spans="1:18" s="4" customFormat="1" ht="20.25" x14ac:dyDescent="0.3">
      <c r="A32" s="32"/>
      <c r="B32" s="74"/>
      <c r="C32" s="78"/>
      <c r="D32" s="78"/>
      <c r="E32" s="78"/>
      <c r="F32" s="78"/>
      <c r="G32" s="78"/>
      <c r="H32" s="74"/>
      <c r="I32" s="74"/>
      <c r="J32" s="30"/>
      <c r="K32" s="73"/>
      <c r="L32" s="73"/>
      <c r="M32" s="73"/>
      <c r="N32" s="30"/>
      <c r="O32" s="30"/>
    </row>
    <row r="33" spans="1:15" s="4" customFormat="1" ht="20.25" x14ac:dyDescent="0.3">
      <c r="A33" s="32"/>
      <c r="B33" s="75" t="s">
        <v>7</v>
      </c>
      <c r="C33" s="74"/>
      <c r="D33" s="74"/>
      <c r="E33" s="74" t="s">
        <v>59</v>
      </c>
      <c r="F33" s="74" t="s">
        <v>59</v>
      </c>
      <c r="G33" s="80" t="s">
        <v>60</v>
      </c>
      <c r="H33" s="81"/>
      <c r="I33" s="73"/>
      <c r="J33" s="73"/>
      <c r="K33" s="73"/>
      <c r="L33" s="73"/>
      <c r="M33" s="73"/>
      <c r="N33" s="30"/>
      <c r="O33" s="30"/>
    </row>
    <row r="34" spans="1:15" s="4" customFormat="1" ht="20.25" x14ac:dyDescent="0.3">
      <c r="A34" s="32"/>
      <c r="B34" s="74"/>
      <c r="C34" s="74"/>
      <c r="D34" s="74"/>
      <c r="E34" s="74" t="s">
        <v>22</v>
      </c>
      <c r="F34" s="74"/>
      <c r="G34" s="74"/>
      <c r="H34" s="74"/>
      <c r="I34" s="73"/>
      <c r="J34" s="73"/>
      <c r="K34" s="73"/>
      <c r="L34" s="73"/>
      <c r="M34" s="73"/>
      <c r="N34" s="30"/>
      <c r="O34" s="30"/>
    </row>
    <row r="35" spans="1:15" s="4" customFormat="1" ht="20.25" x14ac:dyDescent="0.3">
      <c r="B35" s="4" t="s">
        <v>24</v>
      </c>
      <c r="E35" s="68" t="s">
        <v>19</v>
      </c>
      <c r="F35" s="68"/>
      <c r="G35" s="68" t="s">
        <v>46</v>
      </c>
      <c r="H35" s="68"/>
      <c r="I35" s="68"/>
      <c r="L35" s="33"/>
      <c r="M35" s="24"/>
      <c r="N35" s="24"/>
      <c r="O35" s="24"/>
    </row>
    <row r="36" spans="1:15" s="4" customFormat="1" ht="20.25" x14ac:dyDescent="0.3">
      <c r="E36" s="34" t="s">
        <v>22</v>
      </c>
      <c r="F36" s="34"/>
      <c r="G36" s="34"/>
      <c r="H36" s="34"/>
      <c r="I36" s="34"/>
      <c r="N36" s="22"/>
      <c r="O36" s="22"/>
    </row>
    <row r="37" spans="1:15" s="4" customFormat="1" ht="20.25" x14ac:dyDescent="0.3">
      <c r="B37" s="68"/>
      <c r="C37" s="68"/>
      <c r="D37" s="68"/>
      <c r="E37" s="68"/>
      <c r="F37" s="68"/>
      <c r="G37" s="68"/>
      <c r="H37" s="68"/>
      <c r="I37" s="68"/>
      <c r="K37" s="68"/>
      <c r="L37" s="79"/>
      <c r="M37" s="79"/>
      <c r="N37" s="22"/>
      <c r="O37" s="22"/>
    </row>
    <row r="38" spans="1:15" s="4" customFormat="1" ht="20.25" x14ac:dyDescent="0.3">
      <c r="B38" s="35"/>
      <c r="C38" s="35"/>
      <c r="D38" s="35"/>
      <c r="E38" s="35"/>
      <c r="F38" s="35"/>
      <c r="H38" s="34"/>
      <c r="I38" s="34"/>
      <c r="K38" s="34"/>
    </row>
    <row r="39" spans="1:15" s="4" customFormat="1" ht="20.25" x14ac:dyDescent="0.3"/>
    <row r="40" spans="1:15" s="4" customFormat="1" ht="20.25" x14ac:dyDescent="0.3"/>
    <row r="41" spans="1:15" s="4" customFormat="1" ht="20.25" x14ac:dyDescent="0.3"/>
  </sheetData>
  <mergeCells count="20">
    <mergeCell ref="N16:N17"/>
    <mergeCell ref="O16:O17"/>
    <mergeCell ref="A27:B27"/>
    <mergeCell ref="A28:B28"/>
    <mergeCell ref="I1:J1"/>
    <mergeCell ref="L1:M1"/>
    <mergeCell ref="M7:N7"/>
    <mergeCell ref="M8:N8"/>
    <mergeCell ref="H12:L12"/>
    <mergeCell ref="B16:B17"/>
    <mergeCell ref="C16:C17"/>
    <mergeCell ref="D16:D17"/>
    <mergeCell ref="E16:E17"/>
    <mergeCell ref="F16:M16"/>
    <mergeCell ref="D29:G29"/>
    <mergeCell ref="D30:G30"/>
    <mergeCell ref="C31:G31"/>
    <mergeCell ref="C32:G32"/>
    <mergeCell ref="L37:M37"/>
    <mergeCell ref="G33:H3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2"/>
  <sheetViews>
    <sheetView topLeftCell="A28" zoomScaleNormal="100" workbookViewId="0">
      <selection activeCell="E32" sqref="A32:XFD32"/>
    </sheetView>
  </sheetViews>
  <sheetFormatPr defaultColWidth="9.140625" defaultRowHeight="15.75" x14ac:dyDescent="0.25"/>
  <cols>
    <col min="1" max="1" width="6.5703125" style="36" customWidth="1"/>
    <col min="2" max="2" width="45.7109375" style="36" customWidth="1"/>
    <col min="3" max="3" width="16" style="36" customWidth="1"/>
    <col min="4" max="4" width="11.5703125" style="36" customWidth="1"/>
    <col min="5" max="5" width="15" style="36" customWidth="1"/>
    <col min="6" max="6" width="13" style="36" customWidth="1"/>
    <col min="7" max="7" width="11.140625" style="36" bestFit="1" customWidth="1"/>
    <col min="8" max="8" width="15.5703125" style="36" customWidth="1"/>
    <col min="9" max="9" width="14.5703125" style="36" customWidth="1"/>
    <col min="10" max="10" width="15.5703125" style="36" bestFit="1" customWidth="1"/>
    <col min="11" max="11" width="15.7109375" style="36" bestFit="1" customWidth="1"/>
    <col min="12" max="12" width="14.7109375" style="36" customWidth="1"/>
    <col min="13" max="13" width="15.5703125" style="36" customWidth="1"/>
    <col min="14" max="14" width="18.140625" style="36" customWidth="1"/>
    <col min="15" max="15" width="20.85546875" style="36" customWidth="1"/>
    <col min="16" max="16" width="14.140625" style="36" bestFit="1" customWidth="1"/>
    <col min="17" max="17" width="12.5703125" style="36" bestFit="1" customWidth="1"/>
    <col min="18" max="18" width="10.140625" style="36" customWidth="1"/>
    <col min="19" max="19" width="13.85546875" style="36" bestFit="1" customWidth="1"/>
    <col min="20" max="16384" width="9.140625" style="36"/>
  </cols>
  <sheetData>
    <row r="1" spans="1:16" s="4" customFormat="1" ht="20.25" x14ac:dyDescent="0.3">
      <c r="I1" s="88"/>
      <c r="J1" s="88"/>
      <c r="K1" s="52"/>
      <c r="L1" s="88" t="s">
        <v>44</v>
      </c>
      <c r="M1" s="88"/>
    </row>
    <row r="2" spans="1:16" s="5" customFormat="1" ht="18.75" x14ac:dyDescent="0.3">
      <c r="K2" s="6" t="s">
        <v>61</v>
      </c>
      <c r="L2" s="6"/>
      <c r="M2" s="6"/>
      <c r="N2" s="6"/>
      <c r="O2" s="6"/>
    </row>
    <row r="3" spans="1:16" s="5" customFormat="1" ht="18.75" x14ac:dyDescent="0.3">
      <c r="B3" s="5" t="s">
        <v>41</v>
      </c>
      <c r="K3" s="6" t="s">
        <v>23</v>
      </c>
      <c r="L3" s="6"/>
      <c r="M3" s="6"/>
      <c r="N3" s="6"/>
      <c r="O3" s="6"/>
    </row>
    <row r="4" spans="1:16" s="5" customFormat="1" ht="18.75" x14ac:dyDescent="0.3">
      <c r="B4" s="5" t="s">
        <v>54</v>
      </c>
      <c r="I4" s="6"/>
      <c r="J4" s="6"/>
      <c r="K4" s="44" t="s">
        <v>62</v>
      </c>
      <c r="L4" s="6"/>
      <c r="M4" s="6"/>
      <c r="N4" s="6"/>
      <c r="O4" s="6"/>
      <c r="P4" s="6"/>
    </row>
    <row r="5" spans="1:16" s="5" customFormat="1" ht="18.75" x14ac:dyDescent="0.3">
      <c r="B5" s="40" t="s">
        <v>43</v>
      </c>
      <c r="I5" s="7"/>
      <c r="J5" s="7"/>
      <c r="K5" s="7" t="s">
        <v>57</v>
      </c>
      <c r="L5" s="7"/>
      <c r="M5" s="7"/>
      <c r="N5" s="7"/>
      <c r="O5" s="7"/>
    </row>
    <row r="6" spans="1:16" s="8" customFormat="1" ht="15" x14ac:dyDescent="0.25">
      <c r="J6" s="9"/>
      <c r="K6" s="37" t="s">
        <v>18</v>
      </c>
      <c r="L6" s="10"/>
      <c r="M6" s="10"/>
      <c r="N6" s="10"/>
      <c r="O6" s="10"/>
    </row>
    <row r="7" spans="1:16" s="5" customFormat="1" ht="18.75" x14ac:dyDescent="0.3">
      <c r="J7" s="6"/>
      <c r="K7" s="16"/>
      <c r="L7" s="16"/>
      <c r="M7" s="89" t="s">
        <v>58</v>
      </c>
      <c r="N7" s="89"/>
      <c r="O7" s="53"/>
    </row>
    <row r="8" spans="1:16" s="8" customFormat="1" ht="15" x14ac:dyDescent="0.25">
      <c r="J8" s="10" t="s">
        <v>16</v>
      </c>
      <c r="K8" s="10"/>
      <c r="L8" s="10"/>
      <c r="M8" s="90" t="s">
        <v>20</v>
      </c>
      <c r="N8" s="90"/>
      <c r="O8" s="54"/>
    </row>
    <row r="9" spans="1:16" s="5" customFormat="1" ht="18.75" x14ac:dyDescent="0.3">
      <c r="G9" s="6"/>
      <c r="J9" s="7"/>
      <c r="K9" s="11">
        <v>44562</v>
      </c>
      <c r="L9" s="6"/>
      <c r="M9" s="6"/>
      <c r="N9" s="6"/>
      <c r="O9" s="6"/>
    </row>
    <row r="10" spans="1:16" s="8" customFormat="1" ht="15" x14ac:dyDescent="0.25">
      <c r="G10" s="10"/>
      <c r="J10" s="12"/>
      <c r="K10" s="12" t="s">
        <v>17</v>
      </c>
      <c r="L10" s="10"/>
      <c r="M10" s="10"/>
      <c r="N10" s="10"/>
      <c r="O10" s="10"/>
    </row>
    <row r="11" spans="1:16" s="5" customFormat="1" ht="18.75" x14ac:dyDescent="0.3">
      <c r="E11" s="13" t="s">
        <v>53</v>
      </c>
      <c r="F11" s="13"/>
      <c r="G11" s="13"/>
      <c r="H11" s="13"/>
      <c r="I11" s="13"/>
      <c r="J11" s="13"/>
      <c r="K11" s="13"/>
      <c r="L11" s="6"/>
      <c r="M11" s="6"/>
      <c r="N11" s="6"/>
      <c r="O11" s="6"/>
    </row>
    <row r="12" spans="1:16" s="5" customFormat="1" ht="18.75" x14ac:dyDescent="0.3">
      <c r="G12" s="6"/>
      <c r="H12" s="89" t="s">
        <v>45</v>
      </c>
      <c r="I12" s="89"/>
      <c r="J12" s="89"/>
      <c r="K12" s="89"/>
      <c r="L12" s="89"/>
      <c r="M12" s="6"/>
      <c r="N12" s="6"/>
      <c r="O12" s="6"/>
    </row>
    <row r="13" spans="1:16" s="8" customFormat="1" ht="15" x14ac:dyDescent="0.25">
      <c r="G13" s="10"/>
      <c r="H13" s="14"/>
      <c r="I13" s="14"/>
      <c r="J13" s="9"/>
      <c r="K13" s="9" t="s">
        <v>42</v>
      </c>
      <c r="L13" s="10"/>
      <c r="M13" s="10"/>
      <c r="N13" s="10"/>
      <c r="O13" s="10"/>
    </row>
    <row r="14" spans="1:16" s="5" customFormat="1" ht="18.75" x14ac:dyDescent="0.3">
      <c r="H14" s="15"/>
      <c r="I14" s="15"/>
      <c r="J14" s="15"/>
      <c r="K14" s="15"/>
    </row>
    <row r="15" spans="1:16" s="5" customFormat="1" ht="18.75" x14ac:dyDescent="0.3">
      <c r="H15" s="16"/>
      <c r="I15" s="16"/>
      <c r="J15" s="16"/>
      <c r="K15" s="16"/>
    </row>
    <row r="16" spans="1:16" s="47" customFormat="1" ht="40.5" x14ac:dyDescent="0.3">
      <c r="A16" s="45" t="s">
        <v>0</v>
      </c>
      <c r="B16" s="82" t="s">
        <v>1</v>
      </c>
      <c r="C16" s="82" t="s">
        <v>2</v>
      </c>
      <c r="D16" s="91" t="s">
        <v>35</v>
      </c>
      <c r="E16" s="91" t="s">
        <v>3</v>
      </c>
      <c r="F16" s="93" t="s">
        <v>36</v>
      </c>
      <c r="G16" s="94"/>
      <c r="H16" s="94"/>
      <c r="I16" s="94"/>
      <c r="J16" s="94"/>
      <c r="K16" s="94"/>
      <c r="L16" s="94"/>
      <c r="M16" s="95"/>
      <c r="N16" s="82" t="s">
        <v>5</v>
      </c>
      <c r="O16" s="82" t="s">
        <v>52</v>
      </c>
    </row>
    <row r="17" spans="1:19" s="47" customFormat="1" ht="41.25" customHeight="1" x14ac:dyDescent="0.3">
      <c r="A17" s="46"/>
      <c r="B17" s="83"/>
      <c r="C17" s="83"/>
      <c r="D17" s="92"/>
      <c r="E17" s="92"/>
      <c r="F17" s="17">
        <v>0.1</v>
      </c>
      <c r="G17" s="18">
        <v>0.15</v>
      </c>
      <c r="H17" s="18">
        <v>0.2</v>
      </c>
      <c r="I17" s="18">
        <v>0.3</v>
      </c>
      <c r="J17" s="18">
        <v>0.4</v>
      </c>
      <c r="K17" s="18">
        <v>0.5</v>
      </c>
      <c r="L17" s="19" t="s">
        <v>40</v>
      </c>
      <c r="M17" s="20" t="s">
        <v>4</v>
      </c>
      <c r="N17" s="83"/>
      <c r="O17" s="83"/>
      <c r="P17" s="38"/>
      <c r="Q17" s="39"/>
      <c r="R17" s="38"/>
    </row>
    <row r="18" spans="1:19" s="47" customFormat="1" ht="20.25" x14ac:dyDescent="0.3">
      <c r="A18" s="21">
        <v>1</v>
      </c>
      <c r="B18" s="21">
        <v>2</v>
      </c>
      <c r="C18" s="21">
        <v>3</v>
      </c>
      <c r="D18" s="21">
        <v>4</v>
      </c>
      <c r="E18" s="21">
        <v>5</v>
      </c>
      <c r="F18" s="21">
        <v>6</v>
      </c>
      <c r="G18" s="21">
        <v>7</v>
      </c>
      <c r="H18" s="21">
        <v>8</v>
      </c>
      <c r="I18" s="21">
        <v>9</v>
      </c>
      <c r="J18" s="21">
        <v>10</v>
      </c>
      <c r="K18" s="21">
        <v>11</v>
      </c>
      <c r="L18" s="21">
        <v>12</v>
      </c>
      <c r="M18" s="21">
        <v>13</v>
      </c>
      <c r="N18" s="21">
        <v>14</v>
      </c>
      <c r="O18" s="21">
        <v>15</v>
      </c>
    </row>
    <row r="19" spans="1:19" s="56" customFormat="1" ht="23.25" x14ac:dyDescent="0.35">
      <c r="A19" s="41">
        <v>9</v>
      </c>
      <c r="B19" s="58" t="s">
        <v>24</v>
      </c>
      <c r="C19" s="42">
        <v>1</v>
      </c>
      <c r="D19" s="57">
        <v>0.9</v>
      </c>
      <c r="E19" s="42">
        <v>6717.6</v>
      </c>
      <c r="F19" s="42"/>
      <c r="G19" s="42"/>
      <c r="H19" s="42"/>
      <c r="I19" s="42"/>
      <c r="J19" s="42"/>
      <c r="K19" s="42">
        <f>E19*K17</f>
        <v>3358.8</v>
      </c>
      <c r="L19" s="42"/>
      <c r="M19" s="42"/>
      <c r="N19" s="42">
        <f>E19+K19+L19</f>
        <v>10076.400000000001</v>
      </c>
      <c r="O19" s="42">
        <f>N19*12+42000+40296</f>
        <v>203212.80000000002</v>
      </c>
      <c r="P19" s="62"/>
      <c r="Q19" s="63"/>
      <c r="R19" s="62"/>
      <c r="S19" s="63"/>
    </row>
    <row r="20" spans="1:19" s="56" customFormat="1" ht="23.25" x14ac:dyDescent="0.35">
      <c r="A20" s="41">
        <v>10</v>
      </c>
      <c r="B20" s="55" t="s">
        <v>30</v>
      </c>
      <c r="C20" s="42">
        <v>1</v>
      </c>
      <c r="D20" s="43">
        <v>7</v>
      </c>
      <c r="E20" s="42">
        <v>4455</v>
      </c>
      <c r="F20" s="42"/>
      <c r="G20" s="42"/>
      <c r="H20" s="42"/>
      <c r="I20" s="42"/>
      <c r="J20" s="42"/>
      <c r="K20" s="42">
        <f>E20*K17</f>
        <v>2227.5</v>
      </c>
      <c r="L20" s="42"/>
      <c r="M20" s="42">
        <f>6500-E20</f>
        <v>2045</v>
      </c>
      <c r="N20" s="42">
        <f>E20+K20+F20+G20+H20+I20+J20+L20+M20</f>
        <v>8727.5</v>
      </c>
      <c r="O20" s="42">
        <f>N20*12+26730+60000</f>
        <v>191460</v>
      </c>
      <c r="P20" s="62"/>
      <c r="Q20" s="63"/>
      <c r="R20" s="62"/>
      <c r="S20" s="63"/>
    </row>
    <row r="21" spans="1:19" s="56" customFormat="1" ht="23.25" x14ac:dyDescent="0.35">
      <c r="A21" s="41">
        <v>11</v>
      </c>
      <c r="B21" s="58" t="s">
        <v>25</v>
      </c>
      <c r="C21" s="42">
        <v>0.5</v>
      </c>
      <c r="D21" s="43">
        <v>9</v>
      </c>
      <c r="E21" s="42">
        <v>5005</v>
      </c>
      <c r="F21" s="42"/>
      <c r="G21" s="42"/>
      <c r="H21" s="42"/>
      <c r="I21" s="42"/>
      <c r="J21" s="42"/>
      <c r="K21" s="42"/>
      <c r="L21" s="42"/>
      <c r="M21" s="42">
        <f>6500/2-(E21/2)</f>
        <v>747.5</v>
      </c>
      <c r="N21" s="42">
        <f>(E21/2)+K21+F21+G21+H21+I21+J21+L21+M21</f>
        <v>3250</v>
      </c>
      <c r="O21" s="42">
        <f>N21*12</f>
        <v>39000</v>
      </c>
      <c r="P21" s="62"/>
      <c r="Q21" s="63"/>
      <c r="R21" s="62"/>
      <c r="S21" s="63"/>
    </row>
    <row r="22" spans="1:19" s="56" customFormat="1" ht="46.5" x14ac:dyDescent="0.35">
      <c r="A22" s="41">
        <v>12</v>
      </c>
      <c r="B22" s="64" t="s">
        <v>28</v>
      </c>
      <c r="C22" s="42">
        <v>0.5</v>
      </c>
      <c r="D22" s="43">
        <v>7</v>
      </c>
      <c r="E22" s="42">
        <v>4455</v>
      </c>
      <c r="F22" s="42"/>
      <c r="G22" s="42"/>
      <c r="H22" s="42"/>
      <c r="I22" s="42"/>
      <c r="J22" s="42"/>
      <c r="K22" s="42"/>
      <c r="L22" s="42"/>
      <c r="M22" s="42">
        <f>6500/2-(E22/2)</f>
        <v>1022.5</v>
      </c>
      <c r="N22" s="42">
        <f>(E22/2)+K22+F22+G22+H22+I22+J22+L22+M22</f>
        <v>3250</v>
      </c>
      <c r="O22" s="42">
        <f>N22*12</f>
        <v>39000</v>
      </c>
      <c r="P22" s="62"/>
      <c r="Q22" s="63"/>
      <c r="R22" s="62"/>
      <c r="S22" s="63"/>
    </row>
    <row r="23" spans="1:19" s="56" customFormat="1" ht="23.25" x14ac:dyDescent="0.35">
      <c r="A23" s="41">
        <v>13</v>
      </c>
      <c r="B23" s="55" t="s">
        <v>26</v>
      </c>
      <c r="C23" s="42">
        <v>1</v>
      </c>
      <c r="D23" s="43">
        <v>6</v>
      </c>
      <c r="E23" s="42">
        <v>4195</v>
      </c>
      <c r="F23" s="42">
        <f>E23*10%</f>
        <v>419.5</v>
      </c>
      <c r="G23" s="42"/>
      <c r="H23" s="42">
        <f>E23*H17</f>
        <v>839</v>
      </c>
      <c r="I23" s="42"/>
      <c r="J23" s="42"/>
      <c r="K23" s="42"/>
      <c r="L23" s="42"/>
      <c r="M23" s="42">
        <f>6500-(E23+F23)</f>
        <v>1885.5</v>
      </c>
      <c r="N23" s="42">
        <f>E23+K23+F23+G23+H23+I23+J23+L23+M23</f>
        <v>7339</v>
      </c>
      <c r="O23" s="42">
        <f>N23*12+25170+19800</f>
        <v>133038</v>
      </c>
      <c r="P23" s="62"/>
      <c r="Q23" s="63"/>
      <c r="R23" s="62"/>
      <c r="S23" s="63"/>
    </row>
    <row r="24" spans="1:19" s="56" customFormat="1" ht="23.25" x14ac:dyDescent="0.35">
      <c r="A24" s="41">
        <v>14</v>
      </c>
      <c r="B24" s="55" t="s">
        <v>38</v>
      </c>
      <c r="C24" s="42">
        <v>0.5</v>
      </c>
      <c r="D24" s="43">
        <v>6</v>
      </c>
      <c r="E24" s="42">
        <v>4195</v>
      </c>
      <c r="F24" s="42">
        <f>E24*50%*10%</f>
        <v>209.75</v>
      </c>
      <c r="G24" s="42"/>
      <c r="H24" s="42"/>
      <c r="I24" s="42"/>
      <c r="J24" s="42"/>
      <c r="K24" s="42"/>
      <c r="L24" s="42"/>
      <c r="M24" s="42">
        <f>6500/2-(E24/2+F24)</f>
        <v>942.75</v>
      </c>
      <c r="N24" s="42">
        <f>(E24/2)+K24+F24+G24+H24+I24+J24+L24+M24</f>
        <v>3250</v>
      </c>
      <c r="O24" s="42">
        <f>N24*12</f>
        <v>39000</v>
      </c>
      <c r="P24" s="62"/>
      <c r="Q24" s="63"/>
      <c r="R24" s="62"/>
      <c r="S24" s="63"/>
    </row>
    <row r="25" spans="1:19" s="56" customFormat="1" ht="23.25" x14ac:dyDescent="0.35">
      <c r="A25" s="41">
        <v>15</v>
      </c>
      <c r="B25" s="55" t="s">
        <v>11</v>
      </c>
      <c r="C25" s="42">
        <v>1</v>
      </c>
      <c r="D25" s="43">
        <v>4</v>
      </c>
      <c r="E25" s="42">
        <v>3674</v>
      </c>
      <c r="F25" s="42"/>
      <c r="G25" s="42"/>
      <c r="H25" s="42"/>
      <c r="I25" s="42"/>
      <c r="J25" s="42"/>
      <c r="K25" s="42"/>
      <c r="L25" s="42">
        <f>E25*50%</f>
        <v>1837</v>
      </c>
      <c r="M25" s="42">
        <f>6500-(E25+L25)</f>
        <v>989</v>
      </c>
      <c r="N25" s="42">
        <f>E25+K25+F25+G25+H25+I25+J25+L25+M25</f>
        <v>6500</v>
      </c>
      <c r="O25" s="42">
        <f>N25*12+22044+44088</f>
        <v>144132</v>
      </c>
      <c r="P25" s="62"/>
      <c r="Q25" s="63"/>
      <c r="R25" s="62"/>
      <c r="S25" s="63"/>
    </row>
    <row r="26" spans="1:19" s="56" customFormat="1" ht="23.25" x14ac:dyDescent="0.35">
      <c r="A26" s="41">
        <v>16</v>
      </c>
      <c r="B26" s="55" t="s">
        <v>12</v>
      </c>
      <c r="C26" s="42">
        <v>1</v>
      </c>
      <c r="D26" s="43">
        <v>4</v>
      </c>
      <c r="E26" s="42">
        <v>3674</v>
      </c>
      <c r="F26" s="42"/>
      <c r="G26" s="42"/>
      <c r="H26" s="42"/>
      <c r="I26" s="42"/>
      <c r="J26" s="42"/>
      <c r="K26" s="42"/>
      <c r="L26" s="42"/>
      <c r="M26" s="42">
        <f>6500-E26</f>
        <v>2826</v>
      </c>
      <c r="N26" s="42">
        <f>E26+K26+F26+G26+H26+I26+J26+L26+M26</f>
        <v>6500</v>
      </c>
      <c r="O26" s="42">
        <f>N26*12+22044+20000</f>
        <v>120044</v>
      </c>
      <c r="P26" s="62"/>
      <c r="Q26" s="63"/>
      <c r="R26" s="62"/>
      <c r="S26" s="63"/>
    </row>
    <row r="27" spans="1:19" s="56" customFormat="1" ht="69.75" x14ac:dyDescent="0.35">
      <c r="A27" s="41">
        <v>17</v>
      </c>
      <c r="B27" s="65" t="s">
        <v>31</v>
      </c>
      <c r="C27" s="42">
        <v>1</v>
      </c>
      <c r="D27" s="43">
        <v>3</v>
      </c>
      <c r="E27" s="42">
        <v>3414</v>
      </c>
      <c r="F27" s="42"/>
      <c r="G27" s="42"/>
      <c r="H27" s="42"/>
      <c r="I27" s="42"/>
      <c r="J27" s="42"/>
      <c r="K27" s="42"/>
      <c r="L27" s="42"/>
      <c r="M27" s="42">
        <f>6500-E27</f>
        <v>3086</v>
      </c>
      <c r="N27" s="42">
        <f>E27+K27+F27+G27+H27+I27+J27+L27+M27</f>
        <v>6500</v>
      </c>
      <c r="O27" s="42">
        <f>N27*12+20484+20000</f>
        <v>118484</v>
      </c>
      <c r="P27" s="62"/>
      <c r="Q27" s="63"/>
      <c r="R27" s="62"/>
      <c r="S27" s="63"/>
    </row>
    <row r="28" spans="1:19" s="56" customFormat="1" ht="23.25" x14ac:dyDescent="0.35">
      <c r="A28" s="41">
        <v>18</v>
      </c>
      <c r="B28" s="55" t="s">
        <v>12</v>
      </c>
      <c r="C28" s="42">
        <v>0.5</v>
      </c>
      <c r="D28" s="43">
        <v>2</v>
      </c>
      <c r="E28" s="42">
        <v>3153</v>
      </c>
      <c r="F28" s="42"/>
      <c r="G28" s="42"/>
      <c r="H28" s="42"/>
      <c r="I28" s="42"/>
      <c r="J28" s="42"/>
      <c r="K28" s="42"/>
      <c r="L28" s="42"/>
      <c r="M28" s="42">
        <f>6500/2-(E28/2)</f>
        <v>1673.5</v>
      </c>
      <c r="N28" s="42">
        <f>(E28/2)+K28+F28+G28+H28+I28+J28+L28+M28</f>
        <v>3250</v>
      </c>
      <c r="O28" s="42">
        <f>N28*12</f>
        <v>39000</v>
      </c>
      <c r="P28" s="62"/>
      <c r="Q28" s="63"/>
      <c r="R28" s="62"/>
      <c r="S28" s="63"/>
    </row>
    <row r="29" spans="1:19" s="61" customFormat="1" ht="20.25" x14ac:dyDescent="0.3">
      <c r="A29" s="84" t="s">
        <v>33</v>
      </c>
      <c r="B29" s="85"/>
      <c r="C29" s="59">
        <f>SUM(C19:C28)</f>
        <v>8</v>
      </c>
      <c r="D29" s="60"/>
      <c r="E29" s="59"/>
      <c r="F29" s="59">
        <f t="shared" ref="F29:M29" si="0">SUM(F19:F28)</f>
        <v>629.25</v>
      </c>
      <c r="G29" s="59">
        <f t="shared" si="0"/>
        <v>0</v>
      </c>
      <c r="H29" s="59">
        <f t="shared" si="0"/>
        <v>839</v>
      </c>
      <c r="I29" s="59">
        <f t="shared" si="0"/>
        <v>0</v>
      </c>
      <c r="J29" s="59">
        <f t="shared" si="0"/>
        <v>0</v>
      </c>
      <c r="K29" s="59">
        <f t="shared" si="0"/>
        <v>5586.3</v>
      </c>
      <c r="L29" s="59">
        <f t="shared" si="0"/>
        <v>1837</v>
      </c>
      <c r="M29" s="59">
        <f t="shared" si="0"/>
        <v>15217.75</v>
      </c>
      <c r="N29" s="59">
        <f>SUM(N19:N28)</f>
        <v>58642.9</v>
      </c>
      <c r="O29" s="59">
        <f>SUM(O19:O28)</f>
        <v>1066370.8</v>
      </c>
    </row>
    <row r="30" spans="1:19" s="56" customFormat="1" ht="69.75" x14ac:dyDescent="0.35">
      <c r="A30" s="41">
        <v>19</v>
      </c>
      <c r="B30" s="65" t="s">
        <v>27</v>
      </c>
      <c r="C30" s="42">
        <v>1</v>
      </c>
      <c r="D30" s="43">
        <v>3</v>
      </c>
      <c r="E30" s="42">
        <v>3414</v>
      </c>
      <c r="F30" s="42"/>
      <c r="G30" s="42"/>
      <c r="H30" s="42"/>
      <c r="I30" s="42"/>
      <c r="J30" s="42"/>
      <c r="K30" s="42"/>
      <c r="L30" s="42"/>
      <c r="M30" s="42">
        <f>6500-E30</f>
        <v>3086</v>
      </c>
      <c r="N30" s="42">
        <f>E30+M30+J30</f>
        <v>6500</v>
      </c>
      <c r="O30" s="42">
        <f>N30*12+20484+10062.5</f>
        <v>108546.5</v>
      </c>
      <c r="P30" s="62"/>
      <c r="Q30" s="63"/>
      <c r="R30" s="62"/>
      <c r="S30" s="63"/>
    </row>
    <row r="31" spans="1:19" s="56" customFormat="1" ht="23.25" x14ac:dyDescent="0.35">
      <c r="A31" s="66">
        <v>20</v>
      </c>
      <c r="B31" s="55" t="s">
        <v>15</v>
      </c>
      <c r="C31" s="42">
        <v>0.25</v>
      </c>
      <c r="D31" s="43">
        <v>3</v>
      </c>
      <c r="E31" s="42">
        <v>3414</v>
      </c>
      <c r="F31" s="42"/>
      <c r="G31" s="42"/>
      <c r="H31" s="42"/>
      <c r="I31" s="42"/>
      <c r="J31" s="42">
        <f>((E31/167)*40%)*138</f>
        <v>1128.459880239521</v>
      </c>
      <c r="K31" s="42"/>
      <c r="L31" s="42"/>
      <c r="M31" s="42">
        <f>6500/2-(E31/2)</f>
        <v>1543</v>
      </c>
      <c r="N31" s="42">
        <f>(E31/2)+M31+J31</f>
        <v>4378.4598802395212</v>
      </c>
      <c r="O31" s="42">
        <f>N31*12</f>
        <v>52541.518562874255</v>
      </c>
      <c r="P31" s="62"/>
      <c r="Q31" s="63"/>
      <c r="R31" s="62"/>
      <c r="S31" s="63"/>
    </row>
    <row r="32" spans="1:19" s="56" customFormat="1" ht="23.25" x14ac:dyDescent="0.35">
      <c r="A32" s="41">
        <v>21</v>
      </c>
      <c r="B32" s="55" t="s">
        <v>9</v>
      </c>
      <c r="C32" s="42">
        <v>3.75</v>
      </c>
      <c r="D32" s="43">
        <v>1</v>
      </c>
      <c r="E32" s="42">
        <v>2893</v>
      </c>
      <c r="F32" s="42">
        <f>(E32*(C32-1.75))*10%</f>
        <v>578.6</v>
      </c>
      <c r="G32" s="42"/>
      <c r="H32" s="42"/>
      <c r="I32" s="42"/>
      <c r="J32" s="42"/>
      <c r="K32" s="42"/>
      <c r="L32" s="42"/>
      <c r="M32" s="42">
        <f>(6500*3.75)-(2893*3.75)</f>
        <v>13526.25</v>
      </c>
      <c r="N32" s="42">
        <f>(E32*C32)+F32+M32</f>
        <v>24953.599999999999</v>
      </c>
      <c r="O32" s="42">
        <f>N32*12+52074</f>
        <v>351517.19999999995</v>
      </c>
      <c r="P32" s="62"/>
      <c r="Q32" s="63"/>
      <c r="R32" s="62"/>
      <c r="S32" s="63"/>
    </row>
    <row r="33" spans="1:19" s="56" customFormat="1" ht="23.25" x14ac:dyDescent="0.35">
      <c r="A33" s="41">
        <v>22</v>
      </c>
      <c r="B33" s="55" t="s">
        <v>10</v>
      </c>
      <c r="C33" s="42">
        <v>2</v>
      </c>
      <c r="D33" s="43">
        <v>1</v>
      </c>
      <c r="E33" s="42">
        <v>2893</v>
      </c>
      <c r="F33" s="42"/>
      <c r="G33" s="42"/>
      <c r="H33" s="42"/>
      <c r="I33" s="42"/>
      <c r="J33" s="42">
        <f>((E33/167)*40%)*138*C33</f>
        <v>1912.4982035928144</v>
      </c>
      <c r="K33" s="42"/>
      <c r="L33" s="42"/>
      <c r="M33" s="42">
        <f>(6500*2)-(E33*2)</f>
        <v>7214</v>
      </c>
      <c r="N33" s="42">
        <f>(E33*C33)+M33+J33</f>
        <v>14912.498203592815</v>
      </c>
      <c r="O33" s="42">
        <f>N33*12+34716</f>
        <v>213665.9784431138</v>
      </c>
      <c r="P33" s="62"/>
      <c r="Q33" s="63"/>
      <c r="R33" s="62"/>
      <c r="S33" s="63"/>
    </row>
    <row r="34" spans="1:19" s="56" customFormat="1" ht="23.25" x14ac:dyDescent="0.35">
      <c r="A34" s="41">
        <v>23</v>
      </c>
      <c r="B34" s="55" t="s">
        <v>14</v>
      </c>
      <c r="C34" s="42">
        <v>1</v>
      </c>
      <c r="D34" s="43">
        <v>1</v>
      </c>
      <c r="E34" s="42">
        <v>2893</v>
      </c>
      <c r="F34" s="42"/>
      <c r="G34" s="42"/>
      <c r="H34" s="42"/>
      <c r="I34" s="42"/>
      <c r="J34" s="42"/>
      <c r="K34" s="42"/>
      <c r="L34" s="42"/>
      <c r="M34" s="42">
        <f>6500-E34</f>
        <v>3607</v>
      </c>
      <c r="N34" s="42">
        <f>E34+M34+J34</f>
        <v>6500</v>
      </c>
      <c r="O34" s="42">
        <f>N34*12+17358</f>
        <v>95358</v>
      </c>
      <c r="P34" s="62"/>
      <c r="Q34" s="63"/>
      <c r="R34" s="62"/>
      <c r="S34" s="63"/>
    </row>
    <row r="35" spans="1:19" s="56" customFormat="1" ht="23.25" x14ac:dyDescent="0.35">
      <c r="A35" s="41">
        <v>24</v>
      </c>
      <c r="B35" s="55" t="s">
        <v>13</v>
      </c>
      <c r="C35" s="42">
        <v>0.5</v>
      </c>
      <c r="D35" s="43">
        <v>1</v>
      </c>
      <c r="E35" s="42">
        <v>2893</v>
      </c>
      <c r="F35" s="42"/>
      <c r="G35" s="42"/>
      <c r="H35" s="42"/>
      <c r="I35" s="42"/>
      <c r="J35" s="42"/>
      <c r="K35" s="42"/>
      <c r="L35" s="42"/>
      <c r="M35" s="42">
        <f>6500/2-(E35/2)</f>
        <v>1803.5</v>
      </c>
      <c r="N35" s="42">
        <f>(E35/2)+K35+F35+G35+H35+I35+J35+L35+M35</f>
        <v>3250</v>
      </c>
      <c r="O35" s="42">
        <f>N35*12</f>
        <v>39000</v>
      </c>
      <c r="P35" s="62"/>
      <c r="Q35" s="63"/>
      <c r="R35" s="62"/>
      <c r="S35" s="63"/>
    </row>
    <row r="36" spans="1:19" s="56" customFormat="1" ht="23.25" x14ac:dyDescent="0.35">
      <c r="A36" s="66">
        <v>25</v>
      </c>
      <c r="B36" s="55" t="s">
        <v>32</v>
      </c>
      <c r="C36" s="42">
        <v>0.5</v>
      </c>
      <c r="D36" s="43">
        <v>1</v>
      </c>
      <c r="E36" s="42">
        <v>2893</v>
      </c>
      <c r="F36" s="42"/>
      <c r="G36" s="42"/>
      <c r="H36" s="42"/>
      <c r="I36" s="42"/>
      <c r="J36" s="42"/>
      <c r="K36" s="42"/>
      <c r="L36" s="42"/>
      <c r="M36" s="42">
        <f>6500/2-(E36/2)</f>
        <v>1803.5</v>
      </c>
      <c r="N36" s="42">
        <f>(E36/2)+K36+F36+G36+H36+I36+J36+L36+M36</f>
        <v>3250</v>
      </c>
      <c r="O36" s="42">
        <f>N36*12</f>
        <v>39000</v>
      </c>
      <c r="P36" s="62"/>
      <c r="Q36" s="63"/>
      <c r="R36" s="62"/>
      <c r="S36" s="63"/>
    </row>
    <row r="37" spans="1:19" s="3" customFormat="1" ht="20.25" x14ac:dyDescent="0.3">
      <c r="A37" s="48"/>
      <c r="B37" s="49" t="s">
        <v>34</v>
      </c>
      <c r="C37" s="1">
        <f>SUM(C30:C36)</f>
        <v>9</v>
      </c>
      <c r="D37" s="2"/>
      <c r="E37" s="1"/>
      <c r="F37" s="1">
        <f>SUM(F30:F36)</f>
        <v>578.6</v>
      </c>
      <c r="G37" s="1">
        <f t="shared" ref="G37:O37" si="1">SUM(G30:G36)</f>
        <v>0</v>
      </c>
      <c r="H37" s="1">
        <f t="shared" si="1"/>
        <v>0</v>
      </c>
      <c r="I37" s="1">
        <f t="shared" si="1"/>
        <v>0</v>
      </c>
      <c r="J37" s="1">
        <f t="shared" si="1"/>
        <v>3040.9580838323354</v>
      </c>
      <c r="K37" s="1">
        <f t="shared" si="1"/>
        <v>0</v>
      </c>
      <c r="L37" s="1">
        <f t="shared" si="1"/>
        <v>0</v>
      </c>
      <c r="M37" s="1">
        <f t="shared" si="1"/>
        <v>32583.25</v>
      </c>
      <c r="N37" s="1">
        <f t="shared" si="1"/>
        <v>63744.558083832337</v>
      </c>
      <c r="O37" s="1">
        <f t="shared" si="1"/>
        <v>899629.1970059881</v>
      </c>
    </row>
    <row r="38" spans="1:19" s="3" customFormat="1" ht="20.25" x14ac:dyDescent="0.3">
      <c r="A38" s="96" t="s">
        <v>37</v>
      </c>
      <c r="B38" s="97"/>
      <c r="C38" s="1">
        <f>C29+C37</f>
        <v>17</v>
      </c>
      <c r="D38" s="2"/>
      <c r="E38" s="25">
        <f>SUM(E19:E37)</f>
        <v>64230.6</v>
      </c>
      <c r="F38" s="1">
        <f t="shared" ref="F38:M38" si="2">F29+F37</f>
        <v>1207.8499999999999</v>
      </c>
      <c r="G38" s="1">
        <f t="shared" si="2"/>
        <v>0</v>
      </c>
      <c r="H38" s="1">
        <f t="shared" si="2"/>
        <v>839</v>
      </c>
      <c r="I38" s="1">
        <f t="shared" si="2"/>
        <v>0</v>
      </c>
      <c r="J38" s="1">
        <f t="shared" si="2"/>
        <v>3040.9580838323354</v>
      </c>
      <c r="K38" s="1">
        <f t="shared" si="2"/>
        <v>5586.3</v>
      </c>
      <c r="L38" s="1">
        <f t="shared" si="2"/>
        <v>1837</v>
      </c>
      <c r="M38" s="1">
        <f t="shared" si="2"/>
        <v>47801</v>
      </c>
      <c r="N38" s="23">
        <f>N29+N37</f>
        <v>122387.45808383235</v>
      </c>
      <c r="O38" s="23">
        <f>O29+O37</f>
        <v>1965999.9970059881</v>
      </c>
    </row>
    <row r="39" spans="1:19" s="4" customFormat="1" ht="20.25" x14ac:dyDescent="0.3">
      <c r="A39" s="86" t="s">
        <v>6</v>
      </c>
      <c r="B39" s="87"/>
      <c r="C39" s="26">
        <f>C29+C37</f>
        <v>17</v>
      </c>
      <c r="D39" s="26"/>
      <c r="E39" s="21" t="s">
        <v>21</v>
      </c>
      <c r="F39" s="26">
        <f>F29+F37</f>
        <v>1207.8499999999999</v>
      </c>
      <c r="G39" s="26">
        <f t="shared" ref="G39:O39" si="3">G29+G37</f>
        <v>0</v>
      </c>
      <c r="H39" s="26">
        <f t="shared" si="3"/>
        <v>839</v>
      </c>
      <c r="I39" s="26">
        <f t="shared" si="3"/>
        <v>0</v>
      </c>
      <c r="J39" s="26">
        <f t="shared" si="3"/>
        <v>3040.9580838323354</v>
      </c>
      <c r="K39" s="26">
        <f t="shared" si="3"/>
        <v>5586.3</v>
      </c>
      <c r="L39" s="26">
        <f t="shared" si="3"/>
        <v>1837</v>
      </c>
      <c r="M39" s="26">
        <f t="shared" si="3"/>
        <v>47801</v>
      </c>
      <c r="N39" s="26">
        <f t="shared" si="3"/>
        <v>122387.45808383235</v>
      </c>
      <c r="O39" s="26">
        <f t="shared" si="3"/>
        <v>1965999.9970059881</v>
      </c>
    </row>
    <row r="40" spans="1:19" s="4" customFormat="1" ht="20.25" x14ac:dyDescent="0.3">
      <c r="A40" s="27"/>
      <c r="B40" s="28"/>
      <c r="C40" s="29"/>
      <c r="D40" s="76"/>
      <c r="E40" s="76"/>
      <c r="F40" s="76"/>
      <c r="G40" s="76"/>
      <c r="H40" s="51"/>
      <c r="I40" s="50"/>
      <c r="J40" s="50"/>
      <c r="K40" s="50"/>
      <c r="L40" s="50"/>
      <c r="M40" s="50"/>
      <c r="N40" s="30"/>
      <c r="O40" s="30"/>
    </row>
    <row r="41" spans="1:19" s="4" customFormat="1" ht="20.25" x14ac:dyDescent="0.3">
      <c r="A41" s="27"/>
      <c r="B41" s="28"/>
      <c r="C41" s="31"/>
      <c r="D41" s="77"/>
      <c r="E41" s="77"/>
      <c r="F41" s="77"/>
      <c r="G41" s="77"/>
      <c r="H41" s="51"/>
      <c r="I41" s="50"/>
      <c r="J41" s="50"/>
      <c r="K41" s="50"/>
      <c r="L41" s="50"/>
      <c r="M41" s="50"/>
      <c r="N41" s="30"/>
      <c r="O41" s="30"/>
    </row>
    <row r="42" spans="1:19" s="4" customFormat="1" ht="20.25" x14ac:dyDescent="0.3">
      <c r="A42" s="32"/>
      <c r="B42" s="51"/>
      <c r="C42" s="78"/>
      <c r="D42" s="78"/>
      <c r="E42" s="78"/>
      <c r="F42" s="78"/>
      <c r="G42" s="78"/>
      <c r="H42" s="51"/>
      <c r="I42" s="51"/>
      <c r="J42" s="30"/>
      <c r="K42" s="50"/>
      <c r="L42" s="50"/>
      <c r="M42" s="50"/>
      <c r="N42" s="30"/>
      <c r="O42" s="30"/>
    </row>
    <row r="43" spans="1:19" s="4" customFormat="1" ht="20.25" x14ac:dyDescent="0.3">
      <c r="A43" s="32"/>
      <c r="B43" s="51"/>
      <c r="C43" s="78"/>
      <c r="D43" s="78"/>
      <c r="E43" s="78"/>
      <c r="F43" s="78"/>
      <c r="G43" s="78"/>
      <c r="H43" s="51"/>
      <c r="I43" s="51"/>
      <c r="J43" s="30"/>
      <c r="K43" s="50"/>
      <c r="L43" s="50"/>
      <c r="M43" s="50"/>
      <c r="N43" s="30"/>
      <c r="O43" s="30"/>
    </row>
    <row r="44" spans="1:19" s="4" customFormat="1" ht="20.25" x14ac:dyDescent="0.3">
      <c r="A44" s="32"/>
      <c r="B44" s="75" t="s">
        <v>7</v>
      </c>
      <c r="C44" s="74"/>
      <c r="D44" s="74"/>
      <c r="E44" s="74" t="s">
        <v>59</v>
      </c>
      <c r="F44" s="74" t="s">
        <v>59</v>
      </c>
      <c r="G44" s="80" t="s">
        <v>60</v>
      </c>
      <c r="H44" s="81"/>
      <c r="I44" s="73"/>
      <c r="J44" s="73"/>
      <c r="K44" s="73"/>
      <c r="L44" s="73"/>
      <c r="M44" s="73"/>
      <c r="N44" s="30"/>
      <c r="O44" s="30"/>
    </row>
    <row r="45" spans="1:19" s="4" customFormat="1" ht="20.25" x14ac:dyDescent="0.3">
      <c r="A45" s="32"/>
      <c r="B45" s="74"/>
      <c r="C45" s="74"/>
      <c r="D45" s="74"/>
      <c r="E45" s="74" t="s">
        <v>22</v>
      </c>
      <c r="F45" s="74"/>
      <c r="G45" s="74"/>
      <c r="H45" s="74"/>
      <c r="I45" s="73"/>
      <c r="J45" s="73"/>
      <c r="K45" s="73"/>
      <c r="L45" s="73"/>
      <c r="M45" s="73"/>
      <c r="N45" s="30"/>
      <c r="O45" s="30"/>
    </row>
    <row r="46" spans="1:19" s="4" customFormat="1" ht="20.25" x14ac:dyDescent="0.3">
      <c r="B46" s="4" t="s">
        <v>24</v>
      </c>
      <c r="E46" s="52" t="s">
        <v>19</v>
      </c>
      <c r="F46" s="52"/>
      <c r="G46" s="52" t="s">
        <v>46</v>
      </c>
      <c r="H46" s="52"/>
      <c r="I46" s="52"/>
      <c r="L46" s="33"/>
      <c r="M46" s="24"/>
      <c r="N46" s="24"/>
      <c r="O46" s="24"/>
    </row>
    <row r="47" spans="1:19" s="4" customFormat="1" ht="20.25" x14ac:dyDescent="0.3">
      <c r="E47" s="34" t="s">
        <v>22</v>
      </c>
      <c r="F47" s="34"/>
      <c r="G47" s="34"/>
      <c r="H47" s="34"/>
      <c r="I47" s="34"/>
      <c r="N47" s="22"/>
      <c r="O47" s="22"/>
    </row>
    <row r="48" spans="1:19" s="4" customFormat="1" ht="20.25" x14ac:dyDescent="0.3">
      <c r="B48" s="52"/>
      <c r="C48" s="52"/>
      <c r="D48" s="52"/>
      <c r="E48" s="52"/>
      <c r="F48" s="52"/>
      <c r="G48" s="52"/>
      <c r="H48" s="52"/>
      <c r="I48" s="52"/>
      <c r="K48" s="52"/>
      <c r="L48" s="79"/>
      <c r="M48" s="79"/>
      <c r="N48" s="22"/>
      <c r="O48" s="22"/>
    </row>
    <row r="49" spans="2:11" s="4" customFormat="1" ht="20.25" x14ac:dyDescent="0.3">
      <c r="B49" s="35"/>
      <c r="C49" s="35"/>
      <c r="D49" s="35"/>
      <c r="E49" s="35"/>
      <c r="F49" s="35"/>
      <c r="H49" s="34"/>
      <c r="I49" s="34"/>
      <c r="K49" s="34"/>
    </row>
    <row r="50" spans="2:11" s="4" customFormat="1" ht="20.25" x14ac:dyDescent="0.3"/>
    <row r="51" spans="2:11" s="4" customFormat="1" ht="20.25" x14ac:dyDescent="0.3"/>
    <row r="52" spans="2:11" s="4" customFormat="1" ht="20.25" x14ac:dyDescent="0.3"/>
  </sheetData>
  <mergeCells count="21">
    <mergeCell ref="L48:M48"/>
    <mergeCell ref="N16:N17"/>
    <mergeCell ref="A29:B29"/>
    <mergeCell ref="A38:B38"/>
    <mergeCell ref="A39:B39"/>
    <mergeCell ref="D40:G40"/>
    <mergeCell ref="G44:H44"/>
    <mergeCell ref="D41:G41"/>
    <mergeCell ref="C42:G42"/>
    <mergeCell ref="C43:G43"/>
    <mergeCell ref="I1:J1"/>
    <mergeCell ref="L1:M1"/>
    <mergeCell ref="M7:N7"/>
    <mergeCell ref="M8:N8"/>
    <mergeCell ref="H12:L12"/>
    <mergeCell ref="O16:O17"/>
    <mergeCell ref="B16:B17"/>
    <mergeCell ref="C16:C17"/>
    <mergeCell ref="D16:D17"/>
    <mergeCell ref="E16:E17"/>
    <mergeCell ref="F16:M16"/>
  </mergeCells>
  <pageMargins left="0.25" right="0.25" top="0.75" bottom="0.75" header="0.3" footer="0.3"/>
  <pageSetup paperSize="9" scale="39" fitToHeight="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01.01.2022 прирів.</vt:lpstr>
      <vt:lpstr>01.01.2022 інші</vt:lpstr>
      <vt:lpstr>'01.01.2022 інші'!Область_печати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2021-12-13T16:00:09Z</dcterms:modified>
</cp:coreProperties>
</file>