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ork\OneDrive\Рабочий стол\Вода КП ПАРТНЕР\"/>
    </mc:Choice>
  </mc:AlternateContent>
  <xr:revisionPtr revIDLastSave="0" documentId="8_{77AD396C-2CD9-45C9-ABEC-119902CCD3D1}" xr6:coauthVersionLast="45" xr6:coauthVersionMax="45" xr10:uidLastSave="{00000000-0000-0000-0000-000000000000}"/>
  <bookViews>
    <workbookView xWindow="3510" yWindow="3510" windowWidth="21600" windowHeight="11385" tabRatio="699" xr2:uid="{00000000-000D-0000-FFFF-FFFF00000000}"/>
  </bookViews>
  <sheets>
    <sheet name="Заява" sheetId="10" r:id="rId1"/>
    <sheet name="Річний план" sheetId="6" r:id="rId2"/>
    <sheet name="Обсяги факт" sheetId="1" r:id="rId3"/>
    <sheet name="Структура" sheetId="8" r:id="rId4"/>
    <sheet name="Розрахунок" sheetId="7" r:id="rId5"/>
    <sheet name="Штатний" sheetId="11" r:id="rId6"/>
    <sheet name="ФОП" sheetId="15" r:id="rId7"/>
    <sheet name="Адмінистр.витр." sheetId="4" r:id="rId8"/>
    <sheet name="Прямі витр." sheetId="5" r:id="rId9"/>
    <sheet name="Електроенергія" sheetId="9" r:id="rId10"/>
    <sheet name="Амортизація" sheetId="12" r:id="rId11"/>
    <sheet name="титульна" sheetId="14" r:id="rId12"/>
  </sheets>
  <externalReferences>
    <externalReference r:id="rId1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24" i="7" l="1"/>
  <c r="H31" i="7"/>
  <c r="H20" i="7"/>
  <c r="C30" i="7"/>
  <c r="D30" i="7" s="1"/>
  <c r="D29" i="7"/>
  <c r="D28" i="7"/>
  <c r="D27" i="7"/>
  <c r="D26" i="7"/>
  <c r="D25" i="7"/>
  <c r="D24" i="7"/>
  <c r="D23" i="7"/>
  <c r="G29" i="7"/>
  <c r="H29" i="7" s="1"/>
  <c r="G28" i="7"/>
  <c r="H28" i="7" s="1"/>
  <c r="G27" i="7"/>
  <c r="H27" i="7" s="1"/>
  <c r="G23" i="7"/>
  <c r="H23" i="7" s="1"/>
  <c r="F27" i="7"/>
  <c r="F28" i="7"/>
  <c r="F29" i="7"/>
  <c r="F30" i="7"/>
  <c r="F26" i="7"/>
  <c r="F25" i="7"/>
  <c r="F24" i="7"/>
  <c r="F23" i="7" l="1"/>
  <c r="G18" i="7"/>
  <c r="H18" i="7" s="1"/>
  <c r="G17" i="7"/>
  <c r="H17" i="7" s="1"/>
  <c r="H16" i="7" s="1"/>
  <c r="G15" i="7"/>
  <c r="H15" i="7" s="1"/>
  <c r="G14" i="7"/>
  <c r="H14" i="7" s="1"/>
  <c r="G13" i="7"/>
  <c r="H13" i="7" s="1"/>
  <c r="G12" i="7"/>
  <c r="H12" i="7" s="1"/>
  <c r="E44" i="8" l="1"/>
  <c r="E43" i="8"/>
  <c r="E41" i="8"/>
  <c r="E36" i="8"/>
  <c r="E16" i="8"/>
  <c r="E15" i="8"/>
  <c r="E13" i="8"/>
  <c r="E12" i="8"/>
  <c r="E11" i="8"/>
  <c r="E10" i="8"/>
  <c r="D17" i="5"/>
  <c r="E18" i="8" s="1"/>
  <c r="F6" i="9"/>
  <c r="D9" i="4"/>
  <c r="E37" i="8" s="1"/>
  <c r="C14" i="15"/>
  <c r="D14" i="15"/>
  <c r="D13" i="15"/>
  <c r="C9" i="15"/>
  <c r="F7" i="12"/>
  <c r="D8" i="12"/>
  <c r="F8" i="12" s="1"/>
  <c r="D9" i="15" l="1"/>
  <c r="D6" i="15"/>
  <c r="D12" i="15" s="1"/>
  <c r="C6" i="15"/>
  <c r="C12" i="15" s="1"/>
  <c r="D21" i="9" l="1"/>
  <c r="E21" i="9"/>
  <c r="F21" i="9"/>
  <c r="G21" i="9"/>
  <c r="H21" i="9"/>
  <c r="I21" i="9"/>
  <c r="J21" i="9"/>
  <c r="K21" i="9"/>
  <c r="L21" i="9"/>
  <c r="M21" i="9"/>
  <c r="N21" i="9"/>
  <c r="O21" i="9"/>
  <c r="C21" i="9"/>
  <c r="D17" i="12" l="1"/>
  <c r="F16" i="12"/>
  <c r="F15" i="12"/>
  <c r="C8" i="8"/>
  <c r="G25" i="7" l="1"/>
  <c r="E38" i="8"/>
  <c r="F17" i="12"/>
  <c r="G21" i="7"/>
  <c r="H21" i="7" s="1"/>
  <c r="D18" i="5"/>
  <c r="E19" i="8" s="1"/>
  <c r="F21" i="7"/>
  <c r="F22" i="7"/>
  <c r="F31" i="7"/>
  <c r="F20" i="7"/>
  <c r="F18" i="7"/>
  <c r="F17" i="7"/>
  <c r="F12" i="7"/>
  <c r="F13" i="7"/>
  <c r="F14" i="7"/>
  <c r="F15" i="7"/>
  <c r="F11" i="7"/>
  <c r="D21" i="7"/>
  <c r="D22" i="7"/>
  <c r="D31" i="7"/>
  <c r="D20" i="7"/>
  <c r="D18" i="7"/>
  <c r="D17" i="7"/>
  <c r="D12" i="7"/>
  <c r="D15" i="7"/>
  <c r="D11" i="7"/>
  <c r="D16" i="8"/>
  <c r="D15" i="8"/>
  <c r="E14" i="8"/>
  <c r="C14" i="8"/>
  <c r="D36" i="8"/>
  <c r="D37" i="8"/>
  <c r="D43" i="8"/>
  <c r="D44" i="8"/>
  <c r="D45" i="8"/>
  <c r="D47" i="8"/>
  <c r="H25" i="7" l="1"/>
  <c r="D19" i="7"/>
  <c r="D14" i="8"/>
  <c r="H19" i="7"/>
  <c r="D16" i="5" l="1"/>
  <c r="D13" i="5"/>
  <c r="E7" i="9"/>
  <c r="D8" i="9"/>
  <c r="C8" i="9"/>
  <c r="F8" i="9" s="1"/>
  <c r="F7" i="9" l="1"/>
  <c r="D8" i="5"/>
  <c r="E9" i="8"/>
  <c r="E8" i="8" s="1"/>
  <c r="G11" i="7" l="1"/>
  <c r="H11" i="7" s="1"/>
  <c r="D7" i="5"/>
  <c r="D6" i="5" s="1"/>
  <c r="D65" i="8"/>
  <c r="D64" i="8"/>
  <c r="D63" i="8"/>
  <c r="D62" i="8"/>
  <c r="D61" i="8"/>
  <c r="E60" i="8"/>
  <c r="C60" i="8"/>
  <c r="D58" i="8"/>
  <c r="D57" i="8"/>
  <c r="D56" i="8"/>
  <c r="D55" i="8"/>
  <c r="D54" i="8"/>
  <c r="D53" i="8"/>
  <c r="D52" i="8"/>
  <c r="D51" i="8"/>
  <c r="C48" i="8"/>
  <c r="D46" i="8"/>
  <c r="E42" i="8"/>
  <c r="D42" i="8"/>
  <c r="D41" i="8"/>
  <c r="D39" i="8"/>
  <c r="D38" i="8"/>
  <c r="C35" i="8"/>
  <c r="D34" i="8"/>
  <c r="D33" i="8"/>
  <c r="D32" i="8"/>
  <c r="D31" i="8"/>
  <c r="D30" i="8"/>
  <c r="D29" i="8"/>
  <c r="D28" i="8"/>
  <c r="D27" i="8"/>
  <c r="E26" i="8"/>
  <c r="D26" i="8"/>
  <c r="D25" i="8"/>
  <c r="E24" i="8"/>
  <c r="D24" i="8"/>
  <c r="E23" i="8"/>
  <c r="D23" i="8"/>
  <c r="C22" i="8"/>
  <c r="D21" i="8"/>
  <c r="D20" i="8"/>
  <c r="D19" i="8"/>
  <c r="D18" i="8"/>
  <c r="C17" i="8"/>
  <c r="D13" i="8"/>
  <c r="D12" i="8"/>
  <c r="D11" i="8"/>
  <c r="D10" i="8"/>
  <c r="D9" i="8"/>
  <c r="D8" i="8" s="1"/>
  <c r="C7" i="8" l="1"/>
  <c r="C59" i="8" s="1"/>
  <c r="C66" i="8" s="1"/>
  <c r="C68" i="8" s="1"/>
  <c r="C72" i="8" s="1"/>
  <c r="D17" i="8"/>
  <c r="D35" i="8"/>
  <c r="E17" i="8"/>
  <c r="D48" i="8"/>
  <c r="D22" i="8"/>
  <c r="D7" i="8" s="1"/>
  <c r="D60" i="8"/>
  <c r="E22" i="8"/>
  <c r="E48" i="8"/>
  <c r="D59" i="8" l="1"/>
  <c r="E7" i="8"/>
  <c r="D26" i="4" l="1"/>
  <c r="D16" i="4"/>
  <c r="D40" i="4"/>
  <c r="G26" i="7" s="1"/>
  <c r="D45" i="4"/>
  <c r="E19" i="7"/>
  <c r="F19" i="7"/>
  <c r="G19" i="7"/>
  <c r="D16" i="7"/>
  <c r="E16" i="7"/>
  <c r="F16" i="7"/>
  <c r="G16" i="7"/>
  <c r="E10" i="7"/>
  <c r="F10" i="7"/>
  <c r="G10" i="7"/>
  <c r="H10" i="7"/>
  <c r="C13" i="7"/>
  <c r="D13" i="7" s="1"/>
  <c r="D10" i="7" s="1"/>
  <c r="C10" i="5"/>
  <c r="C11" i="5"/>
  <c r="H26" i="7" l="1"/>
  <c r="G30" i="7"/>
  <c r="H30" i="7" s="1"/>
  <c r="E47" i="8"/>
  <c r="E35" i="8" s="1"/>
  <c r="E59" i="8" s="1"/>
  <c r="E66" i="8" s="1"/>
  <c r="H9" i="7"/>
  <c r="H8" i="7" s="1"/>
  <c r="F9" i="7"/>
  <c r="F8" i="7" s="1"/>
  <c r="F32" i="7" s="1"/>
  <c r="D7" i="4"/>
  <c r="G9" i="7"/>
  <c r="G8" i="7" s="1"/>
  <c r="E9" i="7"/>
  <c r="E8" i="7" s="1"/>
  <c r="E32" i="7" s="1"/>
  <c r="E36" i="7" s="1"/>
  <c r="E38" i="7" s="1"/>
  <c r="G22" i="7" l="1"/>
  <c r="G32" i="7"/>
  <c r="H22" i="7"/>
  <c r="H32" i="7" s="1"/>
  <c r="C14" i="7"/>
  <c r="D14" i="7" s="1"/>
  <c r="D9" i="7" s="1"/>
  <c r="D8" i="7" s="1"/>
  <c r="D32" i="7" s="1"/>
  <c r="C19" i="7"/>
  <c r="C16" i="7"/>
  <c r="C10" i="7"/>
  <c r="D22" i="6"/>
  <c r="D23" i="6" s="1"/>
  <c r="C18" i="6"/>
  <c r="C19" i="6"/>
  <c r="C16" i="6"/>
  <c r="E15" i="6"/>
  <c r="E20" i="6" s="1"/>
  <c r="E22" i="6" s="1"/>
  <c r="G34" i="7" s="1"/>
  <c r="G36" i="7" s="1"/>
  <c r="G38" i="7" s="1"/>
  <c r="D15" i="6"/>
  <c r="C16" i="5"/>
  <c r="C13" i="5"/>
  <c r="E23" i="6" l="1"/>
  <c r="E70" i="8"/>
  <c r="F36" i="8" s="1"/>
  <c r="C9" i="7"/>
  <c r="C8" i="7" s="1"/>
  <c r="C15" i="6"/>
  <c r="F16" i="8" l="1"/>
  <c r="F15" i="8"/>
  <c r="F64" i="8"/>
  <c r="F58" i="8"/>
  <c r="F49" i="8"/>
  <c r="F41" i="8"/>
  <c r="F34" i="8"/>
  <c r="F32" i="8"/>
  <c r="F30" i="8"/>
  <c r="F28" i="8"/>
  <c r="F65" i="8"/>
  <c r="F37" i="8"/>
  <c r="F31" i="8"/>
  <c r="F27" i="8"/>
  <c r="F62" i="8"/>
  <c r="F52" i="8"/>
  <c r="F46" i="8"/>
  <c r="F20" i="8"/>
  <c r="F10" i="8"/>
  <c r="F55" i="8"/>
  <c r="F53" i="8"/>
  <c r="F51" i="8"/>
  <c r="F44" i="8"/>
  <c r="F21" i="8"/>
  <c r="F19" i="8"/>
  <c r="F13" i="8"/>
  <c r="F11" i="8"/>
  <c r="F9" i="8"/>
  <c r="F47" i="8"/>
  <c r="F40" i="8"/>
  <c r="F33" i="8"/>
  <c r="F29" i="8"/>
  <c r="F25" i="8"/>
  <c r="F56" i="8"/>
  <c r="F54" i="8"/>
  <c r="F50" i="8"/>
  <c r="F39" i="8"/>
  <c r="F12" i="8"/>
  <c r="F23" i="8"/>
  <c r="F38" i="8"/>
  <c r="F42" i="8"/>
  <c r="F24" i="8"/>
  <c r="F18" i="8"/>
  <c r="F45" i="8"/>
  <c r="F26" i="8"/>
  <c r="F57" i="8"/>
  <c r="F61" i="8"/>
  <c r="F43" i="8"/>
  <c r="F63" i="8"/>
  <c r="E68" i="8"/>
  <c r="E72" i="8" s="1"/>
  <c r="C32" i="7"/>
  <c r="C36" i="7" s="1"/>
  <c r="C38" i="7" s="1"/>
  <c r="C7" i="5"/>
  <c r="C6" i="5" s="1"/>
  <c r="F8" i="8" l="1"/>
  <c r="F14" i="8"/>
  <c r="F60" i="8"/>
  <c r="F17" i="8"/>
  <c r="F22" i="8"/>
  <c r="F35" i="8"/>
  <c r="F48" i="8"/>
  <c r="C45" i="4"/>
  <c r="C40" i="4"/>
  <c r="C26" i="4"/>
  <c r="C16" i="4"/>
  <c r="F7" i="8" l="1"/>
  <c r="F59" i="8" s="1"/>
  <c r="C7" i="4"/>
  <c r="D5" i="1" l="1"/>
  <c r="E12" i="1"/>
  <c r="F12" i="1"/>
  <c r="G12" i="1"/>
  <c r="H12" i="1"/>
  <c r="I12" i="1"/>
  <c r="J12" i="1"/>
  <c r="K12" i="1"/>
  <c r="L12" i="1"/>
  <c r="M12" i="1"/>
  <c r="N12" i="1"/>
  <c r="O12" i="1"/>
  <c r="D12" i="1"/>
  <c r="P14" i="1"/>
  <c r="P13" i="1" l="1"/>
  <c r="P12" i="1" s="1"/>
  <c r="P9" i="1"/>
  <c r="P8" i="1"/>
  <c r="P7" i="1"/>
  <c r="P6" i="1"/>
  <c r="O5" i="1"/>
  <c r="O11" i="1" s="1"/>
  <c r="N5" i="1"/>
  <c r="N11" i="1" s="1"/>
  <c r="M5" i="1"/>
  <c r="M11" i="1" s="1"/>
  <c r="L5" i="1"/>
  <c r="L11" i="1" s="1"/>
  <c r="K5" i="1"/>
  <c r="K11" i="1" s="1"/>
  <c r="J5" i="1"/>
  <c r="J11" i="1" s="1"/>
  <c r="I5" i="1"/>
  <c r="I11" i="1" s="1"/>
  <c r="H5" i="1"/>
  <c r="H11" i="1" s="1"/>
  <c r="G5" i="1"/>
  <c r="G11" i="1" s="1"/>
  <c r="F5" i="1"/>
  <c r="F11" i="1" s="1"/>
  <c r="E5" i="1"/>
  <c r="E11" i="1" s="1"/>
  <c r="D11" i="1"/>
  <c r="P5" i="1" l="1"/>
  <c r="P10" i="1" l="1"/>
  <c r="P11" i="1" s="1"/>
</calcChain>
</file>

<file path=xl/sharedStrings.xml><?xml version="1.0" encoding="utf-8"?>
<sst xmlns="http://schemas.openxmlformats.org/spreadsheetml/2006/main" count="667" uniqueCount="422">
  <si>
    <t>N з/п</t>
  </si>
  <si>
    <t>Показники</t>
  </si>
  <si>
    <t>січень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</si>
  <si>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</si>
  <si>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</si>
  <si>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</si>
  <si>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</si>
  <si>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</si>
  <si>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</si>
  <si>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</si>
  <si>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</si>
  <si>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</si>
  <si>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</si>
  <si>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</si>
  <si>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А</t>
  </si>
  <si>
    <t>1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</si>
  <si>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</si>
  <si>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</si>
  <si>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</si>
  <si>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</si>
  <si>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</si>
  <si>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</si>
  <si>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</si>
  <si>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</si>
  <si>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</si>
  <si>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</si>
  <si>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</si>
  <si>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1.1</t>
  </si>
  <si>
    <t>у т. ч.: поверхневий водозабір</t>
  </si>
  <si>
    <t>1.2</t>
  </si>
  <si>
    <t>підземний водозабір</t>
  </si>
  <si>
    <t>1.3</t>
  </si>
  <si>
    <t>покупна вода</t>
  </si>
  <si>
    <t>1.4</t>
  </si>
  <si>
    <t>покупна вода в природному стані</t>
  </si>
  <si>
    <t>Обсяг реалізації послуг централізованого водопостачання, усього</t>
  </si>
  <si>
    <t>9.1</t>
  </si>
  <si>
    <t>у т. ч. на потреби: населення</t>
  </si>
  <si>
    <t>9.2</t>
  </si>
  <si>
    <t xml:space="preserve">факт 2022 рік </t>
  </si>
  <si>
    <t>Втрати води</t>
  </si>
  <si>
    <t>Обсяги використання води, куб.м</t>
  </si>
  <si>
    <t>юридичних осіб</t>
  </si>
  <si>
    <t>Факт 2022 р.</t>
  </si>
  <si>
    <t>План 2023 р.</t>
  </si>
  <si>
    <t>Адміністративний персонал</t>
  </si>
  <si>
    <t>адміністративних витрат</t>
  </si>
  <si>
    <t>прямих витрат</t>
  </si>
  <si>
    <t>Примітки</t>
  </si>
  <si>
    <t>Адміністративні витрати всього, в т.ч.:</t>
  </si>
  <si>
    <t xml:space="preserve">Витрати на оплату праці апарату управління підприємством та іншого адміністративного персоналу </t>
  </si>
  <si>
    <t>Єдиний внесок на загальнообов'язкове державне соціальне страхування працівників</t>
  </si>
  <si>
    <t>Витрати на службові відрядження, 
витрати на проїзд</t>
  </si>
  <si>
    <t>Витрати на підготовку і перепідготовку кадрів</t>
  </si>
  <si>
    <t>Витрати на малоцінні та швидкозношувані предмети</t>
  </si>
  <si>
    <t>Витрати на придбання канцелярських товарів</t>
  </si>
  <si>
    <t>Витрати на придбання періодичних професійних видань</t>
  </si>
  <si>
    <t>Амортизація основних засобів, інших необоротних матеріальних і нематеріальних активів загальногосподарського використання, визначена відповідно до вимог Податкового кодексу України</t>
  </si>
  <si>
    <t>Витрати на утримання основних засобів, необоротних матеріальних і нематеріальних активів адміністративного використання:</t>
  </si>
  <si>
    <t xml:space="preserve">витрати на ремонт </t>
  </si>
  <si>
    <t xml:space="preserve">витрати на оренду </t>
  </si>
  <si>
    <t xml:space="preserve">витрати на страхування майна </t>
  </si>
  <si>
    <t>витрати на утримання основних засобів, інші:</t>
  </si>
  <si>
    <t>опалення</t>
  </si>
  <si>
    <t>освітлення</t>
  </si>
  <si>
    <t>сторожова охорона</t>
  </si>
  <si>
    <t>пожежна охорона</t>
  </si>
  <si>
    <t>дератизація</t>
  </si>
  <si>
    <t>Витрати на оплату професійних послуг:</t>
  </si>
  <si>
    <t>юридичні</t>
  </si>
  <si>
    <t>адмінпослуги за реєстрацію</t>
  </si>
  <si>
    <t>послуги ЕПЦ</t>
  </si>
  <si>
    <t>консультаційні, інформаційні послуги</t>
  </si>
  <si>
    <t>організація процедур закупівель</t>
  </si>
  <si>
    <t>ведення бухобліку</t>
  </si>
  <si>
    <t>Витрати на оплату послуг зв'язку:</t>
  </si>
  <si>
    <t>інтернет</t>
  </si>
  <si>
    <t>телефонний</t>
  </si>
  <si>
    <t>Витрати на оплату послуг банків (розрахунково-касове обслуговування)</t>
  </si>
  <si>
    <t>Витрати, пов'язані зі сплатою податків, зборів, крім тих, що включаються до виробничої собівартості:</t>
  </si>
  <si>
    <t>Витрати на придбання паливно-мастильних матеріалів для потреб апарату управління підприємством:</t>
  </si>
  <si>
    <t>бензин</t>
  </si>
  <si>
    <t>дизельне паливо</t>
  </si>
  <si>
    <t>масло</t>
  </si>
  <si>
    <t>газ (метан)</t>
  </si>
  <si>
    <t>Інші адміністративні витрати</t>
  </si>
  <si>
    <t>Програмне забезпечення</t>
  </si>
  <si>
    <t>Заправка катриджів</t>
  </si>
  <si>
    <t>14</t>
  </si>
  <si>
    <t>15</t>
  </si>
  <si>
    <t>Кошторис прямих витрат на послуги водопостачання, грн</t>
  </si>
  <si>
    <t>Прямі витрати всього, у т.ч.:</t>
  </si>
  <si>
    <t>Витрати на послуги пошти</t>
  </si>
  <si>
    <t>Прямі матеріальні витрати всього, у т.ч.:</t>
  </si>
  <si>
    <t>Електроенергія для подачі води</t>
  </si>
  <si>
    <t>Витрати на санстанцію (аналіз води)</t>
  </si>
  <si>
    <t>Матеріали, запасні частини, ПММ та інші матеріальні ресурси</t>
  </si>
  <si>
    <t>Прямі витрати на оплату послуг екскаватора</t>
  </si>
  <si>
    <t>Прямі витрати з оплати праці</t>
  </si>
  <si>
    <t>Інші прямі витрати, у т.ч.:</t>
  </si>
  <si>
    <t>Витрати на сплату податків, зборів</t>
  </si>
  <si>
    <t>рентна плата за спеціальне використання води</t>
  </si>
  <si>
    <t>рентна плата за користування надрами</t>
  </si>
  <si>
    <t>(найменування ліцензіата)</t>
  </si>
  <si>
    <t>передбачено діючим тарифом</t>
  </si>
  <si>
    <t>Комунального підприємства «Партнер» 
Новоолександрівської сільської ради Дніпровського району Дніпропетровської області</t>
  </si>
  <si>
    <t>базовий період факт за 2022 рік</t>
  </si>
  <si>
    <t>плановий період
2023 рік</t>
  </si>
  <si>
    <t>куб.м</t>
  </si>
  <si>
    <t>Амортизація основних виробничих засобів, інших необоротних матеріальних і нематеріальних активів виробничого призначення</t>
  </si>
  <si>
    <t>Показник</t>
  </si>
  <si>
    <t>Передбачено діючим тарифом</t>
  </si>
  <si>
    <t>грн/ куб.м</t>
  </si>
  <si>
    <t>Виробнича собівартість, усього, у тому числі:</t>
  </si>
  <si>
    <t>Фактично базовий період 2022 рік</t>
  </si>
  <si>
    <t>Плановий період 2023 рік</t>
  </si>
  <si>
    <t>Адміністративні витрати</t>
  </si>
  <si>
    <t>Інші операційні витрати</t>
  </si>
  <si>
    <t>Повна собівартість</t>
  </si>
  <si>
    <t>Обсяг реалізації, куб.м</t>
  </si>
  <si>
    <t>№
з/п</t>
  </si>
  <si>
    <t>Найменування показників</t>
  </si>
  <si>
    <t>Виробнича собівартість, у тому числі:</t>
  </si>
  <si>
    <t>прямі матеріальні витрати, у тому числі:</t>
  </si>
  <si>
    <t>прямі витрати на оплату праці</t>
  </si>
  <si>
    <t>інші прямі витрати, у тому числі:</t>
  </si>
  <si>
    <t>відрахування на соціальні заходи</t>
  </si>
  <si>
    <t>амортизаційні відрахування</t>
  </si>
  <si>
    <t>підкачка води сторонніми організаціями</t>
  </si>
  <si>
    <t>інші прямі витрати</t>
  </si>
  <si>
    <t>загальновиробничі витрати, у тому числі:</t>
  </si>
  <si>
    <t>витрати на оплату праці</t>
  </si>
  <si>
    <t>витрати на ПММ</t>
  </si>
  <si>
    <t>спецодяг</t>
  </si>
  <si>
    <t>вивезення сміття</t>
  </si>
  <si>
    <t>техогляд трансп.засобів</t>
  </si>
  <si>
    <t>навчання</t>
  </si>
  <si>
    <t>витрати на здійснення технологічного контролю за виробничими процесами і якістю водопостачання та водовідведення</t>
  </si>
  <si>
    <t>Адміністративні витрати, у тому числі:</t>
  </si>
  <si>
    <t>2.1</t>
  </si>
  <si>
    <t>витрати на оплату послуг зв'язку</t>
  </si>
  <si>
    <t>витрати на оренду авто</t>
  </si>
  <si>
    <t>витрати на оплату послуг банків</t>
  </si>
  <si>
    <t>Витрати на службові відрядження</t>
  </si>
  <si>
    <t>Витрати на збут, у тому числі:</t>
  </si>
  <si>
    <t>витрати на оплату інформаційних послуг</t>
  </si>
  <si>
    <t>витрати на канцелярські товари</t>
  </si>
  <si>
    <t>витрати на періодичну повірку, опломбування, обслуговування та ремонт (включаючи демонтаж, транспортування і монтаж) засобів обліку води, які є власністю ліцензіата</t>
  </si>
  <si>
    <t>Обслуговування орг. техніки</t>
  </si>
  <si>
    <t>Іншї витрати збуту</t>
  </si>
  <si>
    <t>Фінансові витрати</t>
  </si>
  <si>
    <t>Розрахунковий прибуток, у тому числі:</t>
  </si>
  <si>
    <t>податок на прибуток</t>
  </si>
  <si>
    <t>дивіденди</t>
  </si>
  <si>
    <t>резервний фонд (капітал)</t>
  </si>
  <si>
    <t>на розвиток виробництва (виробничі інвестиції)</t>
  </si>
  <si>
    <t>інше використання прибутку</t>
  </si>
  <si>
    <t>Керівник</t>
  </si>
  <si>
    <t>(підпис)</t>
  </si>
  <si>
    <t>(ініціали, прізвище)</t>
  </si>
  <si>
    <t>М. П.</t>
  </si>
  <si>
    <t>Факт за 2022 рік</t>
  </si>
  <si>
    <t>План на 2023 рік</t>
  </si>
  <si>
    <t>Вартість електроенергії, грн</t>
  </si>
  <si>
    <t>Середній тариф, грн/кВт*г</t>
  </si>
  <si>
    <t>Обсяг електроенергії, кВт*г</t>
  </si>
  <si>
    <t>прямі витрати на оплату послуг екскаватора</t>
  </si>
  <si>
    <t xml:space="preserve">Комунального підприємства «Партнер» </t>
  </si>
  <si>
    <t>інших споживачів</t>
  </si>
  <si>
    <t xml:space="preserve">Тариф для населення, грн/м3 </t>
  </si>
  <si>
    <t>Тариф для юридичних осіб, грн/м3</t>
  </si>
  <si>
    <t>грн на рік</t>
  </si>
  <si>
    <t>№ п/п</t>
  </si>
  <si>
    <t>1.</t>
  </si>
  <si>
    <t>1.1.</t>
  </si>
  <si>
    <t>1.2.</t>
  </si>
  <si>
    <t>1.3.</t>
  </si>
  <si>
    <t>1.4.</t>
  </si>
  <si>
    <t>2.</t>
  </si>
  <si>
    <t>3.</t>
  </si>
  <si>
    <t>3.1.</t>
  </si>
  <si>
    <t>3.2.</t>
  </si>
  <si>
    <t>3.3.</t>
  </si>
  <si>
    <t>3.4.</t>
  </si>
  <si>
    <t>(ПІБ)</t>
  </si>
  <si>
    <t>ЗАЯВА</t>
  </si>
  <si>
    <t>про встановлення тарифів</t>
  </si>
  <si>
    <t>(повне найменування, місцезнаходження суб'єкта господарювання)</t>
  </si>
  <si>
    <t>(назва, серія, номер та дата видачі ліцензії(й) суб'єкта господарювання)</t>
  </si>
  <si>
    <t> (види ліцензованої діяльності)</t>
  </si>
  <si>
    <t>Заява та документи, що додаються до неї, містять достовірну інформацію.</t>
  </si>
  <si>
    <t xml:space="preserve">До заяви додаються: </t>
  </si>
  <si>
    <t>1. Пояснювальна записка щодо розрахунків тарифів;</t>
  </si>
  <si>
    <t>2. Річний план ліцензованої діяльності з централізованого водопостачання;</t>
  </si>
  <si>
    <t>________________</t>
  </si>
  <si>
    <t>Голові Сурсько-Литовської сільської ради Дніпровського району Дніпропетровської області</t>
  </si>
  <si>
    <t>Комунальному підприємству «Партнет» Сурсько-Литовської сільської ради Дніпровського району Дніпропетровської області</t>
  </si>
  <si>
    <t>Прошу розглянути заяву та додані до неї матеріали щодо встановлення тарифів на послуги</t>
  </si>
  <si>
    <t>централізованого водопостачання</t>
  </si>
  <si>
    <t>2.1.</t>
  </si>
  <si>
    <t>ПОГОДЖЕНО:</t>
  </si>
  <si>
    <t xml:space="preserve">М. П.          </t>
  </si>
  <si>
    <t>Голова Сурсько-Литовської сільської ради Дніпровського району Дніпропетровської області</t>
  </si>
  <si>
    <t xml:space="preserve">Григорій АНДРЄЄВ </t>
  </si>
  <si>
    <t xml:space="preserve"> (ПІБ)</t>
  </si>
  <si>
    <t>Директор</t>
  </si>
  <si>
    <t>Володимир НІКУЛІН</t>
  </si>
  <si>
    <t>Посада</t>
  </si>
  <si>
    <t>Кількість штатних одиниць</t>
  </si>
  <si>
    <t>Посадовий оклад або тарифна ставка</t>
  </si>
  <si>
    <t>Код професій</t>
  </si>
  <si>
    <t>Місячний фонд заробітної плати</t>
  </si>
  <si>
    <t>Директор підприємства</t>
  </si>
  <si>
    <t>1210.1</t>
  </si>
  <si>
    <t>Бухгалтер</t>
  </si>
  <si>
    <t>Слюсар-ремонтник</t>
  </si>
  <si>
    <t>Всього</t>
  </si>
  <si>
    <t>Голова Сурсько-Литовської с/р</t>
  </si>
  <si>
    <t>______________ Григорій АНДРЄЄВ</t>
  </si>
  <si>
    <t>МП</t>
  </si>
  <si>
    <t>ЗАТВЕРДЖУЮ:</t>
  </si>
  <si>
    <t>місячним фондом заробітної плати</t>
  </si>
  <si>
    <t>26039,00 грн</t>
  </si>
  <si>
    <t>Директор КП "Партнер"</t>
  </si>
  <si>
    <t>_______________ Володимир НІКУЛІН</t>
  </si>
  <si>
    <t>Штатний розклад КП "Партнер"</t>
  </si>
  <si>
    <t>2023 рік</t>
  </si>
  <si>
    <t xml:space="preserve"> 1.1.</t>
  </si>
  <si>
    <t xml:space="preserve"> 1.2.</t>
  </si>
  <si>
    <t xml:space="preserve"> 2.1.</t>
  </si>
  <si>
    <t xml:space="preserve"> 1.</t>
  </si>
  <si>
    <t xml:space="preserve"> 2.</t>
  </si>
  <si>
    <t xml:space="preserve"> 2.2.</t>
  </si>
  <si>
    <t xml:space="preserve"> 3.</t>
  </si>
  <si>
    <t xml:space="preserve"> 4.</t>
  </si>
  <si>
    <t xml:space="preserve"> 1.3.</t>
  </si>
  <si>
    <t xml:space="preserve"> 1.4.</t>
  </si>
  <si>
    <t xml:space="preserve"> 1.5.</t>
  </si>
  <si>
    <t xml:space="preserve"> 1.6.</t>
  </si>
  <si>
    <t xml:space="preserve"> 1.7.</t>
  </si>
  <si>
    <t xml:space="preserve"> 1.8.</t>
  </si>
  <si>
    <t xml:space="preserve"> 1.9.</t>
  </si>
  <si>
    <t xml:space="preserve"> 1.9.1.</t>
  </si>
  <si>
    <t xml:space="preserve"> 1.9.2.</t>
  </si>
  <si>
    <t xml:space="preserve"> 1.9.3.</t>
  </si>
  <si>
    <t xml:space="preserve"> 1.9.4.</t>
  </si>
  <si>
    <t xml:space="preserve"> 1.9.5.</t>
  </si>
  <si>
    <t xml:space="preserve"> 1.9.6.</t>
  </si>
  <si>
    <t xml:space="preserve"> 1.9.7.</t>
  </si>
  <si>
    <t xml:space="preserve"> 1.9.8.</t>
  </si>
  <si>
    <t xml:space="preserve"> 1.10.</t>
  </si>
  <si>
    <t xml:space="preserve"> 1.9.9.</t>
  </si>
  <si>
    <t xml:space="preserve"> 1.10.1.</t>
  </si>
  <si>
    <t xml:space="preserve"> 1.10.2.</t>
  </si>
  <si>
    <t xml:space="preserve"> 1.10.3.</t>
  </si>
  <si>
    <t xml:space="preserve"> 1.10.4.</t>
  </si>
  <si>
    <t xml:space="preserve"> 1.10.5.</t>
  </si>
  <si>
    <t xml:space="preserve"> 1.10.6.</t>
  </si>
  <si>
    <t xml:space="preserve"> 1.11.</t>
  </si>
  <si>
    <t xml:space="preserve"> 1.11.1</t>
  </si>
  <si>
    <t xml:space="preserve"> 1.11.2.</t>
  </si>
  <si>
    <t xml:space="preserve"> 1.11.3.</t>
  </si>
  <si>
    <t xml:space="preserve"> 1.12.</t>
  </si>
  <si>
    <t xml:space="preserve"> 1.13.</t>
  </si>
  <si>
    <t xml:space="preserve"> 1.14.</t>
  </si>
  <si>
    <t xml:space="preserve"> 1.15.</t>
  </si>
  <si>
    <t xml:space="preserve"> 1.15.1.</t>
  </si>
  <si>
    <t xml:space="preserve"> 1.15.2.</t>
  </si>
  <si>
    <t xml:space="preserve"> 1.15.3.</t>
  </si>
  <si>
    <t xml:space="preserve"> 1.15.4.</t>
  </si>
  <si>
    <t xml:space="preserve"> 1.16.</t>
  </si>
  <si>
    <t xml:space="preserve"> 1.16.1.</t>
  </si>
  <si>
    <t xml:space="preserve"> 1.16.2.</t>
  </si>
  <si>
    <t xml:space="preserve"> 1.16.3.</t>
  </si>
  <si>
    <t>Табл. 4</t>
  </si>
  <si>
    <t>дані табл. 1</t>
  </si>
  <si>
    <t>розрахунково або по факту</t>
  </si>
  <si>
    <t>згідно договору</t>
  </si>
  <si>
    <t xml:space="preserve"> 1.1.1.</t>
  </si>
  <si>
    <t xml:space="preserve"> 1.1.2.</t>
  </si>
  <si>
    <t xml:space="preserve"> 1.1.3.</t>
  </si>
  <si>
    <t xml:space="preserve"> 1.4.1.</t>
  </si>
  <si>
    <t xml:space="preserve"> 1.4.2.</t>
  </si>
  <si>
    <t xml:space="preserve"> 1.5.2.</t>
  </si>
  <si>
    <t xml:space="preserve"> 1.5.1.</t>
  </si>
  <si>
    <t>згідно договорів, рахунків</t>
  </si>
  <si>
    <t>Кошторис витрат електроенергії на послуги водопостачання, грн</t>
  </si>
  <si>
    <t xml:space="preserve"> 1.5.3.</t>
  </si>
  <si>
    <t xml:space="preserve"> 1.5.4.</t>
  </si>
  <si>
    <t>витрати на утримання та експлуатацію основних засобів та необоротних активів загальновиробничого призначення</t>
  </si>
  <si>
    <t xml:space="preserve"> 1.6.2.</t>
  </si>
  <si>
    <t xml:space="preserve"> 1.6.1.</t>
  </si>
  <si>
    <t xml:space="preserve"> 1.6.3.</t>
  </si>
  <si>
    <t xml:space="preserve"> 1.6.4.</t>
  </si>
  <si>
    <t xml:space="preserve"> 1.6.5.</t>
  </si>
  <si>
    <t xml:space="preserve"> 1.6.6.</t>
  </si>
  <si>
    <t xml:space="preserve"> 1.6.7.</t>
  </si>
  <si>
    <t xml:space="preserve"> 1.6.8.</t>
  </si>
  <si>
    <t xml:space="preserve"> 1.6.9.</t>
  </si>
  <si>
    <t xml:space="preserve"> 1.6.10.</t>
  </si>
  <si>
    <t xml:space="preserve"> 1.6.11.</t>
  </si>
  <si>
    <t xml:space="preserve"> 1.6.12.</t>
  </si>
  <si>
    <t xml:space="preserve"> 2.3.</t>
  </si>
  <si>
    <t xml:space="preserve"> 2.4.</t>
  </si>
  <si>
    <t xml:space="preserve"> 2.5.</t>
  </si>
  <si>
    <t xml:space="preserve"> 2.6.</t>
  </si>
  <si>
    <t xml:space="preserve"> 2.7.</t>
  </si>
  <si>
    <t xml:space="preserve"> 2.8.</t>
  </si>
  <si>
    <t xml:space="preserve"> 2.9.</t>
  </si>
  <si>
    <t xml:space="preserve"> 2.10.</t>
  </si>
  <si>
    <t xml:space="preserve"> 2.11.</t>
  </si>
  <si>
    <t xml:space="preserve"> 2.12.</t>
  </si>
  <si>
    <t xml:space="preserve"> 3.1.</t>
  </si>
  <si>
    <t xml:space="preserve"> 3.2.</t>
  </si>
  <si>
    <t xml:space="preserve"> 3.3.</t>
  </si>
  <si>
    <t xml:space="preserve"> 3.4.</t>
  </si>
  <si>
    <t xml:space="preserve"> 3.5.</t>
  </si>
  <si>
    <t xml:space="preserve"> 3.6.</t>
  </si>
  <si>
    <t xml:space="preserve"> 3.7.</t>
  </si>
  <si>
    <t xml:space="preserve"> 3.8.</t>
  </si>
  <si>
    <t xml:space="preserve"> 5.</t>
  </si>
  <si>
    <t xml:space="preserve"> 6.</t>
  </si>
  <si>
    <t xml:space="preserve"> 7.</t>
  </si>
  <si>
    <t xml:space="preserve"> 7.1.</t>
  </si>
  <si>
    <t xml:space="preserve"> 7.2.</t>
  </si>
  <si>
    <t xml:space="preserve"> 7.3.</t>
  </si>
  <si>
    <t xml:space="preserve"> 7.4.</t>
  </si>
  <si>
    <t xml:space="preserve"> 7.5.</t>
  </si>
  <si>
    <t xml:space="preserve"> 8.</t>
  </si>
  <si>
    <t xml:space="preserve"> 9.</t>
  </si>
  <si>
    <t xml:space="preserve"> 10.</t>
  </si>
  <si>
    <t xml:space="preserve"> </t>
  </si>
  <si>
    <t xml:space="preserve"> 11.</t>
  </si>
  <si>
    <t xml:space="preserve">Структура тарифів на послуги централізованого водопостачання </t>
  </si>
  <si>
    <t xml:space="preserve"> 1.1.4.</t>
  </si>
  <si>
    <t xml:space="preserve"> 1.1.5.</t>
  </si>
  <si>
    <t xml:space="preserve"> 1.1.1.1.</t>
  </si>
  <si>
    <t xml:space="preserve"> 1.1.1.2.</t>
  </si>
  <si>
    <t xml:space="preserve"> 1.1.1.3</t>
  </si>
  <si>
    <t xml:space="preserve"> 1.1.4.1.</t>
  </si>
  <si>
    <t xml:space="preserve"> 1.1.4.2.</t>
  </si>
  <si>
    <t xml:space="preserve"> 1.1.5.1.</t>
  </si>
  <si>
    <t xml:space="preserve"> 1.1.5.2.</t>
  </si>
  <si>
    <t>усього, грн.</t>
  </si>
  <si>
    <t>Група та вид основних засобів</t>
  </si>
  <si>
    <t>Ліквідаційна вартість у % до первісної</t>
  </si>
  <si>
    <t>Річна сума амортизації, грн</t>
  </si>
  <si>
    <t>Метод нарахування амортизації</t>
  </si>
  <si>
    <t>Включення річної суми амортизації до прямих витрат (П), адміністративних витрат (Адм)</t>
  </si>
  <si>
    <t>Група 3: Будинки та споруди</t>
  </si>
  <si>
    <t>Водопровідна мережа 35 км</t>
  </si>
  <si>
    <t>Вежа водонапірна 1</t>
  </si>
  <si>
    <t>Вежа водонапірна 2</t>
  </si>
  <si>
    <t>Вежа водонапірна 3</t>
  </si>
  <si>
    <t>Група 4: Машини та обладнання</t>
  </si>
  <si>
    <t>Ноутбук Lenovo</t>
  </si>
  <si>
    <t>Принтер Canon</t>
  </si>
  <si>
    <t>Прямолінійний</t>
  </si>
  <si>
    <t>Адм</t>
  </si>
  <si>
    <t>П</t>
  </si>
  <si>
    <t>Річна сума амортизації, що відноситься до:</t>
  </si>
  <si>
    <t>3. Обсяги використання води;</t>
  </si>
  <si>
    <t>6. Штатний розклад КП «Партнер»;</t>
  </si>
  <si>
    <t>7. Розрахунок фонду оплати праці;</t>
  </si>
  <si>
    <t>10. Розрахунок прямих витрат на послуги централізованого водопостачання;</t>
  </si>
  <si>
    <t>Григорію АНДРЄЄВУ</t>
  </si>
  <si>
    <t>4. Структура тарифів на послуги централізованого водопостачання;</t>
  </si>
  <si>
    <t>5. Розрахунок повної собівартості на послуги централізованого водопостачання;</t>
  </si>
  <si>
    <t>9. Адміністративні витрати на послуги централізованого водопостачання</t>
  </si>
  <si>
    <t>11. Розрахунок вартості електричної енергії на послуги централізованого водопостачання;</t>
  </si>
  <si>
    <t>12. Розрахунок річної суми амортизаційних нарахувань.</t>
  </si>
  <si>
    <r>
      <t xml:space="preserve">Річний план 
</t>
    </r>
    <r>
      <rPr>
        <sz val="14"/>
        <color theme="1"/>
        <rFont val="Times New Roman"/>
        <family val="1"/>
        <charset val="204"/>
      </rPr>
      <t xml:space="preserve">ліцензованої діяльності з централізованого водопостачання </t>
    </r>
  </si>
  <si>
    <t>Обсяг підйому води, усього</t>
  </si>
  <si>
    <r>
      <t xml:space="preserve">Штат в кількості </t>
    </r>
    <r>
      <rPr>
        <u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 xml:space="preserve"> одиниці</t>
    </r>
  </si>
  <si>
    <t>кур'єрські послуги</t>
  </si>
  <si>
    <t>Внески на загальнообов՛язкове державне соціальне страхування виробничого персоналу</t>
  </si>
  <si>
    <t>Кошторис адміністративних витрат на послуги водопостачання, грн</t>
  </si>
  <si>
    <t>Розрахунок річної суми амортизаційних нарахувань, грн</t>
  </si>
  <si>
    <t>Ліквідаційна вартість встановлюється відповідно до паспорту основного засобу, приблизно на рівні 5-10% від первісної вартості, у розрахунках прийнято на рівні 10%. Річна сума амортизації визначається діленням вартості, яка амортизується (первісна вартість мінус ліквідаційна), на строк корисного використання об՛єкта основних засобів.</t>
  </si>
  <si>
    <t>Мінімально допустимі строки корисного використання, міс.</t>
  </si>
  <si>
    <r>
      <t>грн/м</t>
    </r>
    <r>
      <rPr>
        <b/>
        <vertAlign val="superscript"/>
        <sz val="12"/>
        <rFont val="Times New Roman"/>
        <family val="1"/>
        <charset val="204"/>
      </rPr>
      <t>3</t>
    </r>
  </si>
  <si>
    <t>ПОВНА СОБІВАРТІСТЬ</t>
  </si>
  <si>
    <t>Вартість централізованого водопостачання, грн</t>
  </si>
  <si>
    <t>Ліцензія на право провадження господарської діяльності з централізованого водопостачання №399876 від 06.10.2011 року</t>
  </si>
  <si>
    <t>Тариф, грн/кВт*г</t>
  </si>
  <si>
    <t>Розрахунок тарифів на послуги з централізованого водопостачання</t>
  </si>
  <si>
    <t xml:space="preserve"> Комунального підприємства "Партнер"</t>
  </si>
  <si>
    <t>Розрахунок тарифу</t>
  </si>
  <si>
    <t>на послуги з централізованого водопостачання</t>
  </si>
  <si>
    <t>Комунальним підприємством</t>
  </si>
  <si>
    <t>"Партнер"</t>
  </si>
  <si>
    <t>Тариф на послуги з централізованого водопостачання розрахований відповідно до постанови Кабінету Міністрів України від 01.06.2011 № 869 (з послідуючими змінами)</t>
  </si>
  <si>
    <t>Директора КП "Партнер"</t>
  </si>
  <si>
    <t>Володимира НІКУЛІНА</t>
  </si>
  <si>
    <t>Обсяги електроенергії на послуги водопостачання за 2022 рік, грн</t>
  </si>
  <si>
    <r>
      <t>Тариф для населення, грн/м</t>
    </r>
    <r>
      <rPr>
        <b/>
        <vertAlign val="superscript"/>
        <sz val="16"/>
        <rFont val="Times New Roman"/>
        <family val="1"/>
        <charset val="204"/>
      </rPr>
      <t xml:space="preserve">3 </t>
    </r>
  </si>
  <si>
    <r>
      <t>Обсяг реалізації, тис. м</t>
    </r>
    <r>
      <rPr>
        <b/>
        <vertAlign val="superscript"/>
        <sz val="16"/>
        <rFont val="Times New Roman"/>
        <family val="1"/>
        <charset val="204"/>
      </rPr>
      <t>3</t>
    </r>
  </si>
  <si>
    <r>
      <t>Тариф для юридичних осіб, грн/м</t>
    </r>
    <r>
      <rPr>
        <b/>
        <vertAlign val="superscript"/>
        <sz val="16"/>
        <rFont val="Times New Roman"/>
        <family val="1"/>
        <charset val="204"/>
      </rPr>
      <t>3</t>
    </r>
  </si>
  <si>
    <t>Балансова вартість , грн</t>
  </si>
  <si>
    <t>Найменування статті витрат</t>
  </si>
  <si>
    <t>Всього витрат на оплату праці</t>
  </si>
  <si>
    <t>Прямі витрати</t>
  </si>
  <si>
    <t>Середня зарплата в місяць, грн./міс.</t>
  </si>
  <si>
    <t>_______________</t>
  </si>
  <si>
    <t>Фактично, базовий період 2022 рік</t>
  </si>
  <si>
    <t>Чисельність персоналу, осіб</t>
  </si>
  <si>
    <t>Розрахунок фонду оплати праці, грн</t>
  </si>
  <si>
    <t>Аренда приміщення</t>
  </si>
  <si>
    <t>Різниця (план – факт)</t>
  </si>
  <si>
    <t>Прямі витрати з оплати праці (слюсар-ремонтник)</t>
  </si>
  <si>
    <t>Табл. 1</t>
  </si>
  <si>
    <t>Табл. 2</t>
  </si>
  <si>
    <t>дані табл. 1, ФОП</t>
  </si>
  <si>
    <t>Табл. 3</t>
  </si>
  <si>
    <t>Табл. 4а</t>
  </si>
  <si>
    <t>Табл. 5</t>
  </si>
  <si>
    <t>дані табл. 5</t>
  </si>
  <si>
    <t>Витрати на оплату праці</t>
  </si>
  <si>
    <t>Відрахування на соціальні заходи</t>
  </si>
  <si>
    <t>Амортизаційні відрахування</t>
  </si>
  <si>
    <t>Витрати на ПММ</t>
  </si>
  <si>
    <t>Витрати на оплату послуг банків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</si>
</sst>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%"/>
    <numFmt numFmtId="166" formatCode="0.000"/>
  </numFmts>
  <fonts count="2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vertAlign val="superscript"/>
      <sz val="12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vertAlign val="superscript"/>
      <sz val="16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3" tint="0.59999389629810485"/>
        <bgColor indexed="64"/>
      </patternFill>
    </fill>
  </fills>
  <borders count="5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6" fillId="0" borderId="0"/>
    <xf numFmtId="0" fontId="7" fillId="0" borderId="0"/>
    <xf numFmtId="0" fontId="6" fillId="0" borderId="0"/>
  </cellStyleXfs>
  <cellXfs count="350">
    <xf numFmtId="0" fontId="0" fillId="0" borderId="0" xfId="0"/>
    <xf numFmtId="49" fontId="0" fillId="0" borderId="0" xfId="0" applyNumberFormat="1"/>
    <xf numFmtId="49" fontId="0" fillId="2" borderId="1" xfId="0" applyNumberFormat="1" applyFill="1" applyBorder="1" applyAlignment="1">
      <alignment vertical="center" wrapText="1"/>
    </xf>
    <xf numFmtId="49" fontId="0" fillId="0" borderId="2" xfId="0" applyNumberFormat="1" applyBorder="1" applyAlignment="1">
      <alignment horizontal="center" vertical="center" wrapText="1"/>
    </xf>
    <xf numFmtId="49" fontId="2" fillId="0" borderId="2" xfId="0" applyNumberFormat="1" applyFont="1" applyBorder="1" applyAlignment="1">
      <alignment vertical="center" wrapText="1"/>
    </xf>
    <xf numFmtId="49" fontId="0" fillId="0" borderId="2" xfId="0" applyNumberFormat="1" applyBorder="1" applyAlignment="1">
      <alignment vertical="center" wrapText="1"/>
    </xf>
    <xf numFmtId="49" fontId="3" fillId="0" borderId="2" xfId="0" applyNumberFormat="1" applyFont="1" applyBorder="1" applyAlignment="1">
      <alignment vertical="center" wrapText="1"/>
    </xf>
    <xf numFmtId="2" fontId="0" fillId="0" borderId="0" xfId="0" applyNumberFormat="1"/>
    <xf numFmtId="164" fontId="0" fillId="0" borderId="0" xfId="0" applyNumberFormat="1"/>
    <xf numFmtId="0" fontId="8" fillId="0" borderId="0" xfId="3" applyFont="1"/>
    <xf numFmtId="0" fontId="4" fillId="0" borderId="0" xfId="0" applyFont="1" applyAlignment="1">
      <alignment vertical="center" wrapText="1"/>
    </xf>
    <xf numFmtId="4" fontId="0" fillId="0" borderId="0" xfId="0" applyNumberFormat="1"/>
    <xf numFmtId="49" fontId="0" fillId="0" borderId="8" xfId="0" applyNumberForma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12" fillId="0" borderId="0" xfId="0" applyFont="1"/>
    <xf numFmtId="0" fontId="12" fillId="0" borderId="4" xfId="0" applyFont="1" applyBorder="1"/>
    <xf numFmtId="49" fontId="12" fillId="0" borderId="0" xfId="0" applyNumberFormat="1" applyFont="1"/>
    <xf numFmtId="0" fontId="12" fillId="0" borderId="0" xfId="0" applyFont="1" applyAlignment="1">
      <alignment wrapText="1"/>
    </xf>
    <xf numFmtId="49" fontId="12" fillId="4" borderId="14" xfId="0" applyNumberFormat="1" applyFont="1" applyFill="1" applyBorder="1" applyAlignment="1">
      <alignment horizontal="center" vertical="top" wrapText="1"/>
    </xf>
    <xf numFmtId="0" fontId="12" fillId="4" borderId="19" xfId="0" applyFont="1" applyFill="1" applyBorder="1" applyAlignment="1">
      <alignment horizontal="center" vertical="top" wrapText="1"/>
    </xf>
    <xf numFmtId="0" fontId="12" fillId="4" borderId="22" xfId="0" applyFont="1" applyFill="1" applyBorder="1" applyAlignment="1">
      <alignment horizontal="center" vertical="top" wrapText="1"/>
    </xf>
    <xf numFmtId="0" fontId="12" fillId="4" borderId="23" xfId="0" applyFont="1" applyFill="1" applyBorder="1" applyAlignment="1">
      <alignment horizontal="center" vertical="top" wrapText="1"/>
    </xf>
    <xf numFmtId="49" fontId="11" fillId="0" borderId="15" xfId="0" applyNumberFormat="1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3" fontId="11" fillId="0" borderId="22" xfId="0" applyNumberFormat="1" applyFont="1" applyBorder="1" applyAlignment="1">
      <alignment horizontal="center" vertical="center" wrapText="1"/>
    </xf>
    <xf numFmtId="49" fontId="12" fillId="0" borderId="15" xfId="0" applyNumberFormat="1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3" fontId="12" fillId="0" borderId="22" xfId="0" applyNumberFormat="1" applyFont="1" applyBorder="1" applyAlignment="1">
      <alignment horizontal="center" vertical="center" wrapText="1"/>
    </xf>
    <xf numFmtId="0" fontId="16" fillId="0" borderId="8" xfId="0" applyFont="1" applyBorder="1" applyAlignment="1">
      <alignment vertical="center" wrapText="1"/>
    </xf>
    <xf numFmtId="9" fontId="16" fillId="0" borderId="22" xfId="1" applyFont="1" applyFill="1" applyBorder="1" applyAlignment="1">
      <alignment horizontal="center" vertical="center" wrapText="1"/>
    </xf>
    <xf numFmtId="165" fontId="16" fillId="0" borderId="22" xfId="1" applyNumberFormat="1" applyFont="1" applyFill="1" applyBorder="1" applyAlignment="1">
      <alignment horizontal="center" vertical="center" wrapText="1"/>
    </xf>
    <xf numFmtId="49" fontId="12" fillId="0" borderId="14" xfId="0" applyNumberFormat="1" applyFont="1" applyBorder="1" applyAlignment="1">
      <alignment vertical="center" wrapText="1"/>
    </xf>
    <xf numFmtId="0" fontId="12" fillId="0" borderId="19" xfId="0" applyFont="1" applyBorder="1" applyAlignment="1">
      <alignment vertical="center" wrapText="1"/>
    </xf>
    <xf numFmtId="3" fontId="12" fillId="0" borderId="23" xfId="0" applyNumberFormat="1" applyFont="1" applyBorder="1" applyAlignment="1">
      <alignment horizontal="center" vertical="center" wrapText="1"/>
    </xf>
    <xf numFmtId="49" fontId="12" fillId="0" borderId="16" xfId="0" applyNumberFormat="1" applyFont="1" applyBorder="1" applyAlignment="1">
      <alignment vertical="center" wrapText="1"/>
    </xf>
    <xf numFmtId="0" fontId="12" fillId="0" borderId="20" xfId="0" applyFont="1" applyBorder="1" applyAlignment="1">
      <alignment vertical="center" wrapText="1"/>
    </xf>
    <xf numFmtId="3" fontId="12" fillId="0" borderId="24" xfId="0" applyNumberFormat="1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49" fontId="12" fillId="4" borderId="13" xfId="0" applyNumberFormat="1" applyFont="1" applyFill="1" applyBorder="1" applyAlignment="1">
      <alignment horizontal="center" vertical="center" wrapText="1"/>
    </xf>
    <xf numFmtId="0" fontId="12" fillId="4" borderId="18" xfId="0" applyFont="1" applyFill="1" applyBorder="1" applyAlignment="1">
      <alignment horizontal="center" vertical="center" wrapText="1"/>
    </xf>
    <xf numFmtId="0" fontId="12" fillId="4" borderId="21" xfId="0" applyFont="1" applyFill="1" applyBorder="1" applyAlignment="1">
      <alignment horizontal="center" vertical="center" wrapText="1"/>
    </xf>
    <xf numFmtId="0" fontId="12" fillId="4" borderId="26" xfId="0" applyFont="1" applyFill="1" applyBorder="1" applyAlignment="1">
      <alignment horizontal="center" vertical="center" wrapText="1"/>
    </xf>
    <xf numFmtId="49" fontId="13" fillId="0" borderId="0" xfId="0" applyNumberFormat="1" applyFont="1"/>
    <xf numFmtId="0" fontId="13" fillId="0" borderId="0" xfId="0" applyFont="1" applyAlignment="1">
      <alignment wrapText="1"/>
    </xf>
    <xf numFmtId="0" fontId="13" fillId="0" borderId="0" xfId="0" applyFont="1"/>
    <xf numFmtId="49" fontId="13" fillId="0" borderId="2" xfId="0" applyNumberFormat="1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164" fontId="13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vertical="center" wrapText="1"/>
    </xf>
    <xf numFmtId="9" fontId="14" fillId="0" borderId="2" xfId="1" applyFont="1" applyFill="1" applyBorder="1" applyAlignment="1">
      <alignment horizontal="center" vertical="center" wrapText="1"/>
    </xf>
    <xf numFmtId="9" fontId="17" fillId="0" borderId="2" xfId="1" applyFont="1" applyFill="1" applyBorder="1" applyAlignment="1">
      <alignment horizontal="center" vertical="center" wrapText="1"/>
    </xf>
    <xf numFmtId="49" fontId="13" fillId="0" borderId="1" xfId="0" applyNumberFormat="1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64" fontId="13" fillId="0" borderId="1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164" fontId="13" fillId="0" borderId="3" xfId="0" applyNumberFormat="1" applyFont="1" applyBorder="1" applyAlignment="1">
      <alignment horizontal="center" vertical="center" wrapText="1"/>
    </xf>
    <xf numFmtId="0" fontId="5" fillId="0" borderId="0" xfId="0" applyFont="1"/>
    <xf numFmtId="0" fontId="5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49" fontId="5" fillId="0" borderId="2" xfId="0" applyNumberFormat="1" applyFont="1" applyBorder="1" applyAlignment="1">
      <alignment vertical="center" wrapText="1"/>
    </xf>
    <xf numFmtId="49" fontId="5" fillId="0" borderId="3" xfId="0" applyNumberFormat="1" applyFont="1" applyBorder="1" applyAlignment="1">
      <alignment vertical="center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/>
    <xf numFmtId="0" fontId="5" fillId="0" borderId="3" xfId="0" applyFont="1" applyBorder="1" applyAlignment="1">
      <alignment vertical="center"/>
    </xf>
    <xf numFmtId="2" fontId="5" fillId="0" borderId="3" xfId="0" applyNumberFormat="1" applyFont="1" applyBorder="1" applyAlignment="1">
      <alignment horizontal="center" vertical="center"/>
    </xf>
    <xf numFmtId="49" fontId="13" fillId="4" borderId="1" xfId="0" applyNumberFormat="1" applyFont="1" applyFill="1" applyBorder="1" applyAlignment="1">
      <alignment vertical="center" wrapText="1"/>
    </xf>
    <xf numFmtId="0" fontId="13" fillId="4" borderId="1" xfId="0" applyFont="1" applyFill="1" applyBorder="1" applyAlignment="1">
      <alignment horizontal="center" vertical="center" wrapText="1"/>
    </xf>
    <xf numFmtId="3" fontId="13" fillId="4" borderId="1" xfId="0" applyNumberFormat="1" applyFont="1" applyFill="1" applyBorder="1" applyAlignment="1">
      <alignment horizontal="center" vertical="center" wrapText="1"/>
    </xf>
    <xf numFmtId="49" fontId="13" fillId="4" borderId="1" xfId="0" applyNumberFormat="1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49" fontId="5" fillId="4" borderId="2" xfId="0" applyNumberFormat="1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49" fontId="13" fillId="4" borderId="2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Alignment="1">
      <alignment vertical="center" wrapText="1"/>
    </xf>
    <xf numFmtId="0" fontId="5" fillId="0" borderId="0" xfId="0" applyFont="1" applyAlignment="1">
      <alignment horizontal="right"/>
    </xf>
    <xf numFmtId="0" fontId="13" fillId="4" borderId="3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/>
    </xf>
    <xf numFmtId="0" fontId="13" fillId="0" borderId="3" xfId="0" applyFont="1" applyBorder="1"/>
    <xf numFmtId="2" fontId="13" fillId="0" borderId="3" xfId="0" applyNumberFormat="1" applyFont="1" applyBorder="1" applyAlignment="1">
      <alignment horizontal="center" vertical="center"/>
    </xf>
    <xf numFmtId="1" fontId="13" fillId="0" borderId="3" xfId="0" applyNumberFormat="1" applyFont="1" applyBorder="1" applyAlignment="1">
      <alignment horizontal="center" vertical="center"/>
    </xf>
    <xf numFmtId="0" fontId="13" fillId="4" borderId="31" xfId="0" applyFont="1" applyFill="1" applyBorder="1" applyAlignment="1">
      <alignment horizontal="center" vertical="center" wrapText="1"/>
    </xf>
    <xf numFmtId="0" fontId="13" fillId="0" borderId="32" xfId="0" applyFont="1" applyBorder="1"/>
    <xf numFmtId="0" fontId="5" fillId="0" borderId="32" xfId="0" applyFont="1" applyBorder="1"/>
    <xf numFmtId="0" fontId="13" fillId="4" borderId="5" xfId="0" applyFont="1" applyFill="1" applyBorder="1" applyAlignment="1">
      <alignment horizontal="center" vertical="center"/>
    </xf>
    <xf numFmtId="0" fontId="13" fillId="0" borderId="5" xfId="0" applyFont="1" applyBorder="1"/>
    <xf numFmtId="0" fontId="13" fillId="4" borderId="32" xfId="0" applyFont="1" applyFill="1" applyBorder="1" applyAlignment="1">
      <alignment horizontal="center" vertical="center" wrapText="1"/>
    </xf>
    <xf numFmtId="0" fontId="13" fillId="4" borderId="32" xfId="0" applyFont="1" applyFill="1" applyBorder="1" applyAlignment="1">
      <alignment horizontal="center" vertical="center"/>
    </xf>
    <xf numFmtId="0" fontId="13" fillId="4" borderId="5" xfId="0" applyFont="1" applyFill="1" applyBorder="1" applyAlignment="1">
      <alignment horizontal="center" vertical="center" wrapText="1"/>
    </xf>
    <xf numFmtId="2" fontId="5" fillId="0" borderId="5" xfId="0" applyNumberFormat="1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13" fillId="4" borderId="35" xfId="0" applyFont="1" applyFill="1" applyBorder="1" applyAlignment="1">
      <alignment horizontal="center" vertical="center"/>
    </xf>
    <xf numFmtId="0" fontId="5" fillId="0" borderId="3" xfId="0" applyFont="1" applyBorder="1" applyAlignment="1">
      <alignment wrapText="1"/>
    </xf>
    <xf numFmtId="0" fontId="13" fillId="4" borderId="36" xfId="0" applyFont="1" applyFill="1" applyBorder="1" applyAlignment="1">
      <alignment horizontal="center" vertical="center"/>
    </xf>
    <xf numFmtId="0" fontId="5" fillId="0" borderId="16" xfId="0" applyFont="1" applyBorder="1"/>
    <xf numFmtId="0" fontId="13" fillId="4" borderId="28" xfId="0" applyFont="1" applyFill="1" applyBorder="1" applyAlignment="1">
      <alignment horizontal="center" vertical="center"/>
    </xf>
    <xf numFmtId="0" fontId="13" fillId="4" borderId="37" xfId="0" applyFont="1" applyFill="1" applyBorder="1" applyAlignment="1">
      <alignment horizontal="center" vertical="center"/>
    </xf>
    <xf numFmtId="0" fontId="13" fillId="4" borderId="33" xfId="0" applyFont="1" applyFill="1" applyBorder="1" applyAlignment="1">
      <alignment horizontal="center" vertical="center"/>
    </xf>
    <xf numFmtId="0" fontId="13" fillId="4" borderId="38" xfId="0" applyFont="1" applyFill="1" applyBorder="1" applyAlignment="1">
      <alignment horizontal="center" vertical="center"/>
    </xf>
    <xf numFmtId="0" fontId="13" fillId="0" borderId="38" xfId="0" applyFont="1" applyBorder="1"/>
    <xf numFmtId="0" fontId="5" fillId="0" borderId="5" xfId="0" applyFont="1" applyBorder="1" applyAlignment="1">
      <alignment horizontal="center" vertical="center"/>
    </xf>
    <xf numFmtId="2" fontId="5" fillId="0" borderId="0" xfId="0" applyNumberFormat="1" applyFont="1"/>
    <xf numFmtId="0" fontId="13" fillId="0" borderId="32" xfId="0" applyFont="1" applyBorder="1" applyAlignment="1">
      <alignment horizontal="left"/>
    </xf>
    <xf numFmtId="0" fontId="13" fillId="0" borderId="32" xfId="0" applyFont="1" applyBorder="1" applyAlignment="1">
      <alignment horizontal="left" vertical="center"/>
    </xf>
    <xf numFmtId="0" fontId="5" fillId="0" borderId="32" xfId="0" applyFont="1" applyBorder="1" applyAlignment="1">
      <alignment horizontal="left" vertical="center"/>
    </xf>
    <xf numFmtId="14" fontId="5" fillId="0" borderId="32" xfId="0" applyNumberFormat="1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13" fillId="3" borderId="5" xfId="0" applyFont="1" applyFill="1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0" fontId="5" fillId="3" borderId="5" xfId="0" applyFont="1" applyFill="1" applyBorder="1" applyAlignment="1">
      <alignment vertical="top" wrapText="1"/>
    </xf>
    <xf numFmtId="0" fontId="5" fillId="3" borderId="20" xfId="0" applyFont="1" applyFill="1" applyBorder="1" applyAlignment="1">
      <alignment vertical="top" wrapText="1"/>
    </xf>
    <xf numFmtId="2" fontId="13" fillId="0" borderId="35" xfId="0" applyNumberFormat="1" applyFont="1" applyBorder="1" applyAlignment="1">
      <alignment horizontal="center" vertical="center"/>
    </xf>
    <xf numFmtId="2" fontId="5" fillId="0" borderId="35" xfId="0" applyNumberFormat="1" applyFont="1" applyBorder="1" applyAlignment="1">
      <alignment horizontal="center" vertical="center"/>
    </xf>
    <xf numFmtId="2" fontId="5" fillId="0" borderId="24" xfId="0" applyNumberFormat="1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13" fillId="0" borderId="5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5" fillId="0" borderId="20" xfId="0" applyFont="1" applyBorder="1" applyAlignment="1">
      <alignment wrapText="1"/>
    </xf>
    <xf numFmtId="2" fontId="5" fillId="0" borderId="34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9" fillId="0" borderId="32" xfId="0" applyFont="1" applyBorder="1"/>
    <xf numFmtId="0" fontId="19" fillId="0" borderId="16" xfId="0" applyFont="1" applyBorder="1"/>
    <xf numFmtId="0" fontId="20" fillId="3" borderId="5" xfId="0" applyFont="1" applyFill="1" applyBorder="1" applyAlignment="1">
      <alignment vertical="center" wrapText="1"/>
    </xf>
    <xf numFmtId="0" fontId="20" fillId="3" borderId="20" xfId="0" applyFont="1" applyFill="1" applyBorder="1" applyAlignment="1">
      <alignment vertical="center" wrapText="1"/>
    </xf>
    <xf numFmtId="0" fontId="20" fillId="3" borderId="35" xfId="0" applyFont="1" applyFill="1" applyBorder="1" applyAlignment="1">
      <alignment vertical="center" wrapText="1"/>
    </xf>
    <xf numFmtId="166" fontId="20" fillId="3" borderId="24" xfId="0" applyNumberFormat="1" applyFont="1" applyFill="1" applyBorder="1" applyAlignment="1">
      <alignment vertical="center" wrapText="1"/>
    </xf>
    <xf numFmtId="0" fontId="19" fillId="3" borderId="38" xfId="0" applyFont="1" applyFill="1" applyBorder="1" applyAlignment="1">
      <alignment vertical="center" wrapText="1"/>
    </xf>
    <xf numFmtId="0" fontId="19" fillId="3" borderId="35" xfId="0" applyFont="1" applyFill="1" applyBorder="1" applyAlignment="1">
      <alignment vertical="center" wrapText="1"/>
    </xf>
    <xf numFmtId="166" fontId="19" fillId="3" borderId="24" xfId="0" applyNumberFormat="1" applyFont="1" applyFill="1" applyBorder="1" applyAlignment="1">
      <alignment vertical="center" wrapText="1"/>
    </xf>
    <xf numFmtId="0" fontId="19" fillId="4" borderId="36" xfId="0" applyFont="1" applyFill="1" applyBorder="1" applyAlignment="1">
      <alignment horizontal="center" vertical="center"/>
    </xf>
    <xf numFmtId="0" fontId="19" fillId="4" borderId="28" xfId="0" applyFont="1" applyFill="1" applyBorder="1" applyAlignment="1">
      <alignment horizontal="center" vertical="center" wrapText="1"/>
    </xf>
    <xf numFmtId="0" fontId="19" fillId="4" borderId="37" xfId="0" applyFont="1" applyFill="1" applyBorder="1" applyAlignment="1">
      <alignment horizontal="center" vertical="center" wrapText="1"/>
    </xf>
    <xf numFmtId="0" fontId="19" fillId="4" borderId="33" xfId="0" applyFont="1" applyFill="1" applyBorder="1" applyAlignment="1">
      <alignment horizontal="center" vertical="center" wrapText="1"/>
    </xf>
    <xf numFmtId="0" fontId="19" fillId="4" borderId="32" xfId="0" applyFont="1" applyFill="1" applyBorder="1" applyAlignment="1">
      <alignment horizontal="center" vertical="center"/>
    </xf>
    <xf numFmtId="0" fontId="19" fillId="4" borderId="5" xfId="0" applyFont="1" applyFill="1" applyBorder="1" applyAlignment="1">
      <alignment horizontal="center" vertical="center" wrapText="1"/>
    </xf>
    <xf numFmtId="0" fontId="19" fillId="4" borderId="35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20" fillId="0" borderId="0" xfId="3" applyFont="1" applyAlignment="1">
      <alignment horizontal="center" vertical="center" wrapText="1"/>
    </xf>
    <xf numFmtId="0" fontId="20" fillId="0" borderId="0" xfId="3" applyFont="1" applyAlignment="1">
      <alignment horizontal="right" wrapText="1"/>
    </xf>
    <xf numFmtId="0" fontId="20" fillId="0" borderId="0" xfId="3" applyFont="1" applyAlignment="1">
      <alignment horizontal="right"/>
    </xf>
    <xf numFmtId="0" fontId="20" fillId="0" borderId="0" xfId="3" applyFont="1"/>
    <xf numFmtId="0" fontId="19" fillId="0" borderId="0" xfId="3" applyFont="1" applyAlignment="1">
      <alignment horizontal="left" vertical="center" wrapText="1"/>
    </xf>
    <xf numFmtId="4" fontId="19" fillId="0" borderId="0" xfId="3" applyNumberFormat="1" applyFont="1" applyAlignment="1">
      <alignment horizontal="center" vertical="center"/>
    </xf>
    <xf numFmtId="4" fontId="13" fillId="0" borderId="0" xfId="3" applyNumberFormat="1" applyFont="1" applyAlignment="1">
      <alignment horizontal="center" vertical="center"/>
    </xf>
    <xf numFmtId="0" fontId="19" fillId="0" borderId="0" xfId="3" applyFont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9" fontId="5" fillId="0" borderId="0" xfId="0" applyNumberFormat="1" applyFont="1"/>
    <xf numFmtId="0" fontId="20" fillId="0" borderId="0" xfId="3" applyFont="1" applyAlignment="1">
      <alignment horizontal="left"/>
    </xf>
    <xf numFmtId="49" fontId="20" fillId="0" borderId="0" xfId="3" applyNumberFormat="1" applyFont="1" applyAlignment="1">
      <alignment horizontal="left" vertical="center"/>
    </xf>
    <xf numFmtId="0" fontId="20" fillId="4" borderId="31" xfId="3" applyFont="1" applyFill="1" applyBorder="1" applyAlignment="1">
      <alignment horizontal="center" vertical="center"/>
    </xf>
    <xf numFmtId="0" fontId="20" fillId="4" borderId="32" xfId="3" applyFont="1" applyFill="1" applyBorder="1" applyAlignment="1">
      <alignment horizontal="center" vertical="center"/>
    </xf>
    <xf numFmtId="1" fontId="19" fillId="0" borderId="32" xfId="3" applyNumberFormat="1" applyFont="1" applyBorder="1" applyAlignment="1">
      <alignment horizontal="left" vertical="center"/>
    </xf>
    <xf numFmtId="49" fontId="19" fillId="0" borderId="32" xfId="3" applyNumberFormat="1" applyFont="1" applyBorder="1" applyAlignment="1">
      <alignment horizontal="left" vertical="center"/>
    </xf>
    <xf numFmtId="49" fontId="20" fillId="0" borderId="32" xfId="3" applyNumberFormat="1" applyFont="1" applyBorder="1" applyAlignment="1">
      <alignment horizontal="left" vertical="center"/>
    </xf>
    <xf numFmtId="4" fontId="20" fillId="0" borderId="31" xfId="3" applyNumberFormat="1" applyFont="1" applyBorder="1" applyAlignment="1">
      <alignment horizontal="center" vertical="center"/>
    </xf>
    <xf numFmtId="4" fontId="19" fillId="0" borderId="31" xfId="3" applyNumberFormat="1" applyFont="1" applyBorder="1" applyAlignment="1">
      <alignment horizontal="center" vertical="center"/>
    </xf>
    <xf numFmtId="49" fontId="20" fillId="0" borderId="32" xfId="4" applyNumberFormat="1" applyFont="1" applyBorder="1" applyAlignment="1">
      <alignment horizontal="left" vertical="center" wrapText="1"/>
    </xf>
    <xf numFmtId="49" fontId="19" fillId="0" borderId="16" xfId="3" applyNumberFormat="1" applyFont="1" applyBorder="1" applyAlignment="1">
      <alignment horizontal="left" vertical="center"/>
    </xf>
    <xf numFmtId="0" fontId="20" fillId="4" borderId="5" xfId="3" applyFont="1" applyFill="1" applyBorder="1" applyAlignment="1">
      <alignment horizontal="center" vertical="center"/>
    </xf>
    <xf numFmtId="0" fontId="19" fillId="0" borderId="5" xfId="3" applyFont="1" applyBorder="1" applyAlignment="1">
      <alignment horizontal="left" vertical="center"/>
    </xf>
    <xf numFmtId="0" fontId="20" fillId="0" borderId="5" xfId="3" applyFont="1" applyBorder="1" applyAlignment="1">
      <alignment horizontal="left" vertical="center"/>
    </xf>
    <xf numFmtId="0" fontId="20" fillId="0" borderId="5" xfId="4" applyFont="1" applyBorder="1" applyAlignment="1">
      <alignment vertical="center" wrapText="1"/>
    </xf>
    <xf numFmtId="0" fontId="5" fillId="3" borderId="5" xfId="0" applyFont="1" applyFill="1" applyBorder="1" applyAlignment="1">
      <alignment vertical="top"/>
    </xf>
    <xf numFmtId="0" fontId="20" fillId="0" borderId="5" xfId="3" applyFont="1" applyBorder="1" applyAlignment="1">
      <alignment horizontal="left" vertical="center" wrapText="1"/>
    </xf>
    <xf numFmtId="0" fontId="19" fillId="0" borderId="20" xfId="3" applyFont="1" applyBorder="1" applyAlignment="1">
      <alignment horizontal="left" vertical="center" wrapText="1"/>
    </xf>
    <xf numFmtId="0" fontId="20" fillId="4" borderId="6" xfId="3" applyFont="1" applyFill="1" applyBorder="1" applyAlignment="1">
      <alignment horizontal="center" vertical="center"/>
    </xf>
    <xf numFmtId="4" fontId="19" fillId="0" borderId="6" xfId="3" applyNumberFormat="1" applyFont="1" applyBorder="1" applyAlignment="1">
      <alignment horizontal="center" vertical="center"/>
    </xf>
    <xf numFmtId="4" fontId="19" fillId="0" borderId="32" xfId="3" applyNumberFormat="1" applyFont="1" applyBorder="1" applyAlignment="1">
      <alignment horizontal="center" vertical="center"/>
    </xf>
    <xf numFmtId="4" fontId="20" fillId="0" borderId="32" xfId="3" applyNumberFormat="1" applyFont="1" applyBorder="1" applyAlignment="1">
      <alignment horizontal="center" vertical="center"/>
    </xf>
    <xf numFmtId="0" fontId="19" fillId="4" borderId="32" xfId="3" applyFont="1" applyFill="1" applyBorder="1" applyAlignment="1">
      <alignment horizontal="center" vertical="center"/>
    </xf>
    <xf numFmtId="0" fontId="19" fillId="4" borderId="31" xfId="3" applyFont="1" applyFill="1" applyBorder="1" applyAlignment="1">
      <alignment horizontal="center" vertical="center"/>
    </xf>
    <xf numFmtId="0" fontId="19" fillId="4" borderId="6" xfId="3" applyFont="1" applyFill="1" applyBorder="1" applyAlignment="1">
      <alignment horizontal="center" vertical="center"/>
    </xf>
    <xf numFmtId="4" fontId="13" fillId="0" borderId="0" xfId="0" applyNumberFormat="1" applyFont="1"/>
    <xf numFmtId="4" fontId="13" fillId="0" borderId="31" xfId="0" applyNumberFormat="1" applyFont="1" applyBorder="1" applyAlignment="1">
      <alignment horizontal="center" vertical="center" wrapText="1"/>
    </xf>
    <xf numFmtId="4" fontId="13" fillId="0" borderId="31" xfId="0" applyNumberFormat="1" applyFont="1" applyBorder="1" applyAlignment="1">
      <alignment horizontal="center" vertical="center"/>
    </xf>
    <xf numFmtId="4" fontId="5" fillId="0" borderId="31" xfId="0" applyNumberFormat="1" applyFont="1" applyBorder="1" applyAlignment="1">
      <alignment horizontal="center" vertical="center"/>
    </xf>
    <xf numFmtId="0" fontId="13" fillId="0" borderId="5" xfId="0" applyFont="1" applyBorder="1" applyAlignment="1">
      <alignment vertical="center" wrapText="1"/>
    </xf>
    <xf numFmtId="4" fontId="13" fillId="0" borderId="32" xfId="0" applyNumberFormat="1" applyFont="1" applyBorder="1" applyAlignment="1">
      <alignment horizontal="center" vertical="center" wrapText="1"/>
    </xf>
    <xf numFmtId="4" fontId="13" fillId="0" borderId="32" xfId="0" applyNumberFormat="1" applyFont="1" applyBorder="1" applyAlignment="1">
      <alignment horizontal="center" vertical="center"/>
    </xf>
    <xf numFmtId="4" fontId="5" fillId="0" borderId="32" xfId="0" applyNumberFormat="1" applyFont="1" applyBorder="1" applyAlignment="1">
      <alignment horizontal="center" vertical="center"/>
    </xf>
    <xf numFmtId="4" fontId="13" fillId="4" borderId="6" xfId="0" applyNumberFormat="1" applyFont="1" applyFill="1" applyBorder="1" applyAlignment="1">
      <alignment horizontal="center" vertical="center" wrapText="1"/>
    </xf>
    <xf numFmtId="4" fontId="13" fillId="4" borderId="31" xfId="0" applyNumberFormat="1" applyFont="1" applyFill="1" applyBorder="1" applyAlignment="1">
      <alignment horizontal="center" vertical="center" wrapText="1"/>
    </xf>
    <xf numFmtId="49" fontId="13" fillId="4" borderId="32" xfId="0" applyNumberFormat="1" applyFont="1" applyFill="1" applyBorder="1" applyAlignment="1">
      <alignment horizontal="center" vertical="center" wrapText="1"/>
    </xf>
    <xf numFmtId="3" fontId="13" fillId="4" borderId="6" xfId="0" applyNumberFormat="1" applyFont="1" applyFill="1" applyBorder="1" applyAlignment="1">
      <alignment horizontal="center" vertical="center" wrapText="1"/>
    </xf>
    <xf numFmtId="3" fontId="13" fillId="4" borderId="31" xfId="0" applyNumberFormat="1" applyFont="1" applyFill="1" applyBorder="1" applyAlignment="1">
      <alignment horizontal="center" vertical="center" wrapText="1"/>
    </xf>
    <xf numFmtId="0" fontId="13" fillId="0" borderId="41" xfId="0" applyFont="1" applyBorder="1"/>
    <xf numFmtId="0" fontId="11" fillId="0" borderId="41" xfId="0" applyFont="1" applyBorder="1"/>
    <xf numFmtId="0" fontId="11" fillId="0" borderId="45" xfId="0" applyFont="1" applyBorder="1"/>
    <xf numFmtId="0" fontId="11" fillId="0" borderId="0" xfId="0" applyFont="1"/>
    <xf numFmtId="4" fontId="11" fillId="0" borderId="0" xfId="0" applyNumberFormat="1" applyFont="1" applyAlignment="1">
      <alignment horizontal="center"/>
    </xf>
    <xf numFmtId="4" fontId="13" fillId="4" borderId="6" xfId="0" applyNumberFormat="1" applyFont="1" applyFill="1" applyBorder="1" applyAlignment="1">
      <alignment horizontal="center" vertical="center"/>
    </xf>
    <xf numFmtId="4" fontId="13" fillId="4" borderId="31" xfId="0" applyNumberFormat="1" applyFont="1" applyFill="1" applyBorder="1" applyAlignment="1">
      <alignment horizontal="center" vertical="center"/>
    </xf>
    <xf numFmtId="4" fontId="5" fillId="4" borderId="6" xfId="0" applyNumberFormat="1" applyFont="1" applyFill="1" applyBorder="1" applyAlignment="1">
      <alignment horizontal="center" vertical="center"/>
    </xf>
    <xf numFmtId="4" fontId="13" fillId="2" borderId="32" xfId="0" applyNumberFormat="1" applyFont="1" applyFill="1" applyBorder="1" applyAlignment="1">
      <alignment horizontal="center" vertical="center" wrapText="1"/>
    </xf>
    <xf numFmtId="4" fontId="13" fillId="2" borderId="31" xfId="0" applyNumberFormat="1" applyFont="1" applyFill="1" applyBorder="1" applyAlignment="1">
      <alignment horizontal="center" vertical="center" wrapText="1"/>
    </xf>
    <xf numFmtId="4" fontId="13" fillId="2" borderId="32" xfId="0" applyNumberFormat="1" applyFont="1" applyFill="1" applyBorder="1" applyAlignment="1">
      <alignment horizontal="center" vertical="center"/>
    </xf>
    <xf numFmtId="4" fontId="13" fillId="2" borderId="31" xfId="0" applyNumberFormat="1" applyFont="1" applyFill="1" applyBorder="1" applyAlignment="1">
      <alignment horizontal="center" vertical="center"/>
    </xf>
    <xf numFmtId="4" fontId="5" fillId="2" borderId="32" xfId="0" applyNumberFormat="1" applyFont="1" applyFill="1" applyBorder="1" applyAlignment="1">
      <alignment horizontal="center" vertical="center"/>
    </xf>
    <xf numFmtId="4" fontId="5" fillId="2" borderId="31" xfId="0" applyNumberFormat="1" applyFont="1" applyFill="1" applyBorder="1" applyAlignment="1">
      <alignment horizontal="center" vertical="center"/>
    </xf>
    <xf numFmtId="0" fontId="13" fillId="0" borderId="48" xfId="0" applyFont="1" applyBorder="1"/>
    <xf numFmtId="0" fontId="11" fillId="0" borderId="42" xfId="0" applyFont="1" applyBorder="1"/>
    <xf numFmtId="4" fontId="11" fillId="2" borderId="41" xfId="0" applyNumberFormat="1" applyFont="1" applyFill="1" applyBorder="1" applyAlignment="1">
      <alignment horizontal="center" vertical="center"/>
    </xf>
    <xf numFmtId="4" fontId="11" fillId="2" borderId="51" xfId="0" applyNumberFormat="1" applyFont="1" applyFill="1" applyBorder="1" applyAlignment="1">
      <alignment horizontal="center" vertical="center"/>
    </xf>
    <xf numFmtId="4" fontId="11" fillId="0" borderId="41" xfId="0" applyNumberFormat="1" applyFont="1" applyBorder="1" applyAlignment="1">
      <alignment horizontal="center" vertical="center"/>
    </xf>
    <xf numFmtId="4" fontId="11" fillId="0" borderId="51" xfId="0" applyNumberFormat="1" applyFont="1" applyBorder="1" applyAlignment="1">
      <alignment horizontal="center" vertical="center"/>
    </xf>
    <xf numFmtId="4" fontId="11" fillId="4" borderId="43" xfId="0" applyNumberFormat="1" applyFont="1" applyFill="1" applyBorder="1" applyAlignment="1">
      <alignment horizontal="center" vertical="center"/>
    </xf>
    <xf numFmtId="4" fontId="11" fillId="4" borderId="51" xfId="0" applyNumberFormat="1" applyFont="1" applyFill="1" applyBorder="1" applyAlignment="1">
      <alignment horizontal="center" vertical="center"/>
    </xf>
    <xf numFmtId="4" fontId="13" fillId="2" borderId="47" xfId="0" applyNumberFormat="1" applyFont="1" applyFill="1" applyBorder="1" applyAlignment="1">
      <alignment horizontal="center" vertical="center"/>
    </xf>
    <xf numFmtId="4" fontId="13" fillId="2" borderId="49" xfId="0" applyNumberFormat="1" applyFont="1" applyFill="1" applyBorder="1" applyAlignment="1">
      <alignment horizontal="center" vertical="center"/>
    </xf>
    <xf numFmtId="4" fontId="13" fillId="0" borderId="47" xfId="0" applyNumberFormat="1" applyFont="1" applyBorder="1" applyAlignment="1">
      <alignment horizontal="center" vertical="center"/>
    </xf>
    <xf numFmtId="4" fontId="13" fillId="0" borderId="49" xfId="0" applyNumberFormat="1" applyFont="1" applyBorder="1" applyAlignment="1">
      <alignment horizontal="center" vertical="center"/>
    </xf>
    <xf numFmtId="4" fontId="13" fillId="4" borderId="50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top" wrapText="1"/>
    </xf>
    <xf numFmtId="0" fontId="5" fillId="0" borderId="4" xfId="0" applyFont="1" applyBorder="1"/>
    <xf numFmtId="0" fontId="5" fillId="0" borderId="0" xfId="0" applyFont="1" applyAlignment="1">
      <alignment horizontal="center" vertical="center"/>
    </xf>
    <xf numFmtId="0" fontId="19" fillId="0" borderId="32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13" fillId="4" borderId="27" xfId="0" applyFont="1" applyFill="1" applyBorder="1" applyAlignment="1">
      <alignment horizontal="center" vertical="center"/>
    </xf>
    <xf numFmtId="166" fontId="5" fillId="0" borderId="17" xfId="0" applyNumberFormat="1" applyFont="1" applyBorder="1" applyAlignment="1">
      <alignment horizontal="center" vertical="center"/>
    </xf>
    <xf numFmtId="166" fontId="5" fillId="0" borderId="20" xfId="0" applyNumberFormat="1" applyFont="1" applyBorder="1" applyAlignment="1">
      <alignment horizontal="center" vertical="center"/>
    </xf>
    <xf numFmtId="166" fontId="5" fillId="0" borderId="24" xfId="0" applyNumberFormat="1" applyFont="1" applyBorder="1" applyAlignment="1">
      <alignment horizontal="center" vertical="center"/>
    </xf>
    <xf numFmtId="0" fontId="20" fillId="3" borderId="3" xfId="0" applyFont="1" applyFill="1" applyBorder="1" applyAlignment="1">
      <alignment horizontal="left" vertical="center" wrapText="1"/>
    </xf>
    <xf numFmtId="0" fontId="20" fillId="3" borderId="17" xfId="0" applyFont="1" applyFill="1" applyBorder="1" applyAlignment="1">
      <alignment horizontal="left" vertical="center" wrapText="1"/>
    </xf>
    <xf numFmtId="0" fontId="22" fillId="0" borderId="0" xfId="0" applyFont="1"/>
    <xf numFmtId="0" fontId="23" fillId="0" borderId="0" xfId="0" applyFont="1"/>
    <xf numFmtId="9" fontId="0" fillId="0" borderId="0" xfId="0" applyNumberFormat="1"/>
    <xf numFmtId="0" fontId="5" fillId="0" borderId="38" xfId="0" applyFont="1" applyBorder="1" applyAlignment="1">
      <alignment horizontal="left" vertical="center"/>
    </xf>
    <xf numFmtId="0" fontId="5" fillId="0" borderId="25" xfId="0" applyFont="1" applyBorder="1" applyAlignment="1">
      <alignment horizontal="left" vertical="center"/>
    </xf>
    <xf numFmtId="164" fontId="11" fillId="0" borderId="0" xfId="0" applyNumberFormat="1" applyFont="1" applyAlignment="1">
      <alignment horizontal="center"/>
    </xf>
    <xf numFmtId="0" fontId="24" fillId="0" borderId="41" xfId="3" applyFont="1" applyBorder="1" applyAlignment="1">
      <alignment horizontal="left" vertical="center" wrapText="1"/>
    </xf>
    <xf numFmtId="0" fontId="24" fillId="0" borderId="42" xfId="3" applyFont="1" applyBorder="1" applyAlignment="1">
      <alignment horizontal="left" wrapText="1"/>
    </xf>
    <xf numFmtId="49" fontId="24" fillId="0" borderId="41" xfId="3" applyNumberFormat="1" applyFont="1" applyBorder="1" applyAlignment="1">
      <alignment horizontal="left" vertical="center"/>
    </xf>
    <xf numFmtId="0" fontId="24" fillId="0" borderId="42" xfId="3" applyFont="1" applyBorder="1" applyAlignment="1">
      <alignment horizontal="left" vertical="center" wrapText="1"/>
    </xf>
    <xf numFmtId="49" fontId="26" fillId="0" borderId="32" xfId="0" applyNumberFormat="1" applyFont="1" applyBorder="1" applyAlignment="1">
      <alignment vertical="center" wrapText="1"/>
    </xf>
    <xf numFmtId="0" fontId="26" fillId="0" borderId="32" xfId="0" applyFont="1" applyBorder="1"/>
    <xf numFmtId="0" fontId="15" fillId="0" borderId="32" xfId="0" applyFont="1" applyBorder="1"/>
    <xf numFmtId="0" fontId="26" fillId="0" borderId="47" xfId="0" applyFont="1" applyBorder="1"/>
    <xf numFmtId="0" fontId="5" fillId="0" borderId="0" xfId="0" applyFont="1" applyAlignment="1">
      <alignment horizontal="center" wrapText="1"/>
    </xf>
    <xf numFmtId="166" fontId="19" fillId="3" borderId="38" xfId="0" applyNumberFormat="1" applyFont="1" applyFill="1" applyBorder="1" applyAlignment="1">
      <alignment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2" fontId="19" fillId="0" borderId="3" xfId="0" applyNumberFormat="1" applyFont="1" applyBorder="1" applyAlignment="1">
      <alignment horizontal="left"/>
    </xf>
    <xf numFmtId="4" fontId="13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4" fontId="13" fillId="0" borderId="3" xfId="0" applyNumberFormat="1" applyFont="1" applyBorder="1" applyAlignment="1">
      <alignment horizontal="center" vertical="center" wrapText="1"/>
    </xf>
    <xf numFmtId="2" fontId="19" fillId="0" borderId="11" xfId="0" applyNumberFormat="1" applyFont="1" applyBorder="1" applyAlignment="1">
      <alignment horizontal="left"/>
    </xf>
    <xf numFmtId="0" fontId="13" fillId="0" borderId="11" xfId="0" applyFont="1" applyBorder="1"/>
    <xf numFmtId="1" fontId="13" fillId="0" borderId="11" xfId="0" applyNumberFormat="1" applyFont="1" applyBorder="1" applyAlignment="1">
      <alignment horizontal="center" vertical="center"/>
    </xf>
    <xf numFmtId="1" fontId="13" fillId="0" borderId="3" xfId="0" applyNumberFormat="1" applyFont="1" applyBorder="1" applyAlignment="1">
      <alignment horizontal="center" vertical="center" wrapText="1"/>
    </xf>
    <xf numFmtId="4" fontId="13" fillId="0" borderId="11" xfId="0" applyNumberFormat="1" applyFont="1" applyBorder="1" applyAlignment="1">
      <alignment horizontal="center" vertical="center" wrapText="1"/>
    </xf>
    <xf numFmtId="4" fontId="13" fillId="0" borderId="0" xfId="0" applyNumberFormat="1" applyFont="1" applyAlignment="1">
      <alignment horizontal="center" vertical="center"/>
    </xf>
    <xf numFmtId="3" fontId="13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/>
    </xf>
    <xf numFmtId="0" fontId="13" fillId="0" borderId="0" xfId="0" applyFont="1" applyAlignment="1">
      <alignment vertical="center" wrapText="1"/>
    </xf>
    <xf numFmtId="49" fontId="13" fillId="2" borderId="3" xfId="0" applyNumberFormat="1" applyFont="1" applyFill="1" applyBorder="1" applyAlignment="1">
      <alignment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5" fillId="0" borderId="48" xfId="0" applyFont="1" applyBorder="1"/>
    <xf numFmtId="0" fontId="15" fillId="0" borderId="47" xfId="0" applyFont="1" applyBorder="1"/>
    <xf numFmtId="4" fontId="5" fillId="2" borderId="47" xfId="0" applyNumberFormat="1" applyFont="1" applyFill="1" applyBorder="1" applyAlignment="1">
      <alignment horizontal="center" vertical="center"/>
    </xf>
    <xf numFmtId="4" fontId="5" fillId="2" borderId="49" xfId="0" applyNumberFormat="1" applyFont="1" applyFill="1" applyBorder="1" applyAlignment="1">
      <alignment horizontal="center" vertical="center"/>
    </xf>
    <xf numFmtId="4" fontId="5" fillId="0" borderId="47" xfId="0" applyNumberFormat="1" applyFont="1" applyBorder="1" applyAlignment="1">
      <alignment horizontal="center" vertical="center"/>
    </xf>
    <xf numFmtId="4" fontId="5" fillId="0" borderId="49" xfId="0" applyNumberFormat="1" applyFont="1" applyBorder="1" applyAlignment="1">
      <alignment horizontal="center" vertical="center"/>
    </xf>
    <xf numFmtId="4" fontId="5" fillId="4" borderId="50" xfId="0" applyNumberFormat="1" applyFont="1" applyFill="1" applyBorder="1" applyAlignment="1">
      <alignment horizontal="center" vertical="center"/>
    </xf>
    <xf numFmtId="4" fontId="20" fillId="0" borderId="6" xfId="3" applyNumberFormat="1" applyFont="1" applyBorder="1" applyAlignment="1">
      <alignment horizontal="center" vertical="center"/>
    </xf>
    <xf numFmtId="4" fontId="20" fillId="0" borderId="32" xfId="4" applyNumberFormat="1" applyFont="1" applyBorder="1" applyAlignment="1">
      <alignment horizontal="center" vertical="center" wrapText="1"/>
    </xf>
    <xf numFmtId="4" fontId="20" fillId="0" borderId="6" xfId="4" applyNumberFormat="1" applyFont="1" applyBorder="1" applyAlignment="1">
      <alignment horizontal="center" vertical="center" wrapText="1"/>
    </xf>
    <xf numFmtId="4" fontId="5" fillId="0" borderId="6" xfId="3" applyNumberFormat="1" applyFont="1" applyBorder="1" applyAlignment="1">
      <alignment horizontal="center" vertical="center"/>
    </xf>
    <xf numFmtId="4" fontId="5" fillId="0" borderId="32" xfId="0" applyNumberFormat="1" applyFont="1" applyBorder="1" applyAlignment="1">
      <alignment horizontal="center" vertical="center" wrapText="1"/>
    </xf>
    <xf numFmtId="2" fontId="20" fillId="3" borderId="35" xfId="0" applyNumberFormat="1" applyFont="1" applyFill="1" applyBorder="1" applyAlignment="1">
      <alignment vertical="center" wrapText="1"/>
    </xf>
    <xf numFmtId="2" fontId="19" fillId="3" borderId="35" xfId="0" applyNumberFormat="1" applyFont="1" applyFill="1" applyBorder="1" applyAlignment="1">
      <alignment vertical="center" wrapText="1"/>
    </xf>
    <xf numFmtId="4" fontId="20" fillId="4" borderId="31" xfId="3" applyNumberFormat="1" applyFont="1" applyFill="1" applyBorder="1" applyAlignment="1">
      <alignment horizontal="center" vertical="center"/>
    </xf>
    <xf numFmtId="4" fontId="19" fillId="4" borderId="31" xfId="3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1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5" fillId="0" borderId="0" xfId="0" applyFont="1" applyAlignment="1">
      <alignment vertical="top" wrapText="1"/>
    </xf>
    <xf numFmtId="0" fontId="5" fillId="0" borderId="4" xfId="0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left" wrapText="1"/>
    </xf>
    <xf numFmtId="0" fontId="12" fillId="0" borderId="4" xfId="0" applyFont="1" applyBorder="1" applyAlignment="1">
      <alignment horizontal="right"/>
    </xf>
    <xf numFmtId="0" fontId="12" fillId="0" borderId="0" xfId="0" applyFont="1" applyAlignment="1">
      <alignment horizontal="right" vertical="center" wrapText="1"/>
    </xf>
    <xf numFmtId="49" fontId="12" fillId="0" borderId="0" xfId="0" applyNumberFormat="1" applyFont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49" fontId="5" fillId="0" borderId="0" xfId="0" applyNumberFormat="1" applyFont="1" applyAlignment="1">
      <alignment vertical="center" wrapText="1"/>
    </xf>
    <xf numFmtId="0" fontId="5" fillId="0" borderId="0" xfId="0" applyFont="1" applyAlignment="1">
      <alignment horizontal="right" vertical="center" wrapText="1"/>
    </xf>
    <xf numFmtId="0" fontId="19" fillId="0" borderId="0" xfId="2" applyFont="1" applyAlignment="1">
      <alignment horizontal="center" vertical="center" wrapText="1"/>
    </xf>
    <xf numFmtId="0" fontId="20" fillId="0" borderId="0" xfId="2" applyFont="1" applyAlignment="1">
      <alignment horizontal="center" vertical="center" wrapText="1"/>
    </xf>
    <xf numFmtId="0" fontId="19" fillId="4" borderId="36" xfId="3" applyFont="1" applyFill="1" applyBorder="1" applyAlignment="1">
      <alignment horizontal="center" vertical="center" wrapText="1"/>
    </xf>
    <xf numFmtId="0" fontId="19" fillId="4" borderId="32" xfId="3" applyFont="1" applyFill="1" applyBorder="1" applyAlignment="1">
      <alignment horizontal="center" vertical="center" wrapText="1"/>
    </xf>
    <xf numFmtId="0" fontId="19" fillId="4" borderId="28" xfId="3" applyFont="1" applyFill="1" applyBorder="1" applyAlignment="1">
      <alignment horizontal="center" vertical="center"/>
    </xf>
    <xf numFmtId="0" fontId="19" fillId="4" borderId="5" xfId="3" applyFont="1" applyFill="1" applyBorder="1" applyAlignment="1">
      <alignment horizontal="center" vertical="center"/>
    </xf>
    <xf numFmtId="0" fontId="19" fillId="4" borderId="30" xfId="3" applyFont="1" applyFill="1" applyBorder="1" applyAlignment="1">
      <alignment horizontal="center" vertical="center"/>
    </xf>
    <xf numFmtId="0" fontId="19" fillId="4" borderId="29" xfId="3" applyFont="1" applyFill="1" applyBorder="1" applyAlignment="1">
      <alignment horizontal="center" vertical="center" wrapText="1"/>
    </xf>
    <xf numFmtId="4" fontId="19" fillId="0" borderId="40" xfId="3" applyNumberFormat="1" applyFont="1" applyBorder="1" applyAlignment="1">
      <alignment horizontal="center" vertical="center"/>
    </xf>
    <xf numFmtId="4" fontId="19" fillId="0" borderId="25" xfId="3" applyNumberFormat="1" applyFont="1" applyBorder="1" applyAlignment="1">
      <alignment horizontal="center" vertical="center"/>
    </xf>
    <xf numFmtId="4" fontId="19" fillId="0" borderId="39" xfId="3" applyNumberFormat="1" applyFont="1" applyBorder="1" applyAlignment="1">
      <alignment horizontal="center" vertical="center"/>
    </xf>
    <xf numFmtId="164" fontId="24" fillId="0" borderId="46" xfId="3" applyNumberFormat="1" applyFont="1" applyBorder="1" applyAlignment="1">
      <alignment horizontal="center" vertical="center"/>
    </xf>
    <xf numFmtId="164" fontId="24" fillId="0" borderId="44" xfId="3" applyNumberFormat="1" applyFont="1" applyBorder="1" applyAlignment="1">
      <alignment horizontal="center" vertical="center"/>
    </xf>
    <xf numFmtId="4" fontId="24" fillId="0" borderId="46" xfId="3" applyNumberFormat="1" applyFont="1" applyBorder="1" applyAlignment="1">
      <alignment horizontal="center" vertical="center"/>
    </xf>
    <xf numFmtId="4" fontId="24" fillId="0" borderId="44" xfId="3" applyNumberFormat="1" applyFont="1" applyBorder="1" applyAlignment="1">
      <alignment horizontal="center" vertical="center"/>
    </xf>
    <xf numFmtId="3" fontId="24" fillId="0" borderId="46" xfId="3" applyNumberFormat="1" applyFont="1" applyBorder="1" applyAlignment="1">
      <alignment horizontal="center" vertical="center"/>
    </xf>
    <xf numFmtId="3" fontId="24" fillId="0" borderId="44" xfId="3" applyNumberFormat="1" applyFont="1" applyBorder="1" applyAlignment="1">
      <alignment horizontal="center" vertical="center"/>
    </xf>
    <xf numFmtId="4" fontId="24" fillId="0" borderId="45" xfId="3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164" fontId="11" fillId="0" borderId="46" xfId="0" applyNumberFormat="1" applyFont="1" applyBorder="1" applyAlignment="1">
      <alignment horizontal="center"/>
    </xf>
    <xf numFmtId="164" fontId="11" fillId="0" borderId="44" xfId="0" applyNumberFormat="1" applyFont="1" applyBorder="1" applyAlignment="1">
      <alignment horizontal="center"/>
    </xf>
    <xf numFmtId="4" fontId="11" fillId="4" borderId="45" xfId="0" applyNumberFormat="1" applyFont="1" applyFill="1" applyBorder="1" applyAlignment="1">
      <alignment horizontal="center"/>
    </xf>
    <xf numFmtId="4" fontId="11" fillId="4" borderId="44" xfId="0" applyNumberFormat="1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49" fontId="13" fillId="4" borderId="36" xfId="0" applyNumberFormat="1" applyFont="1" applyFill="1" applyBorder="1" applyAlignment="1">
      <alignment horizontal="center" vertical="center" wrapText="1"/>
    </xf>
    <xf numFmtId="49" fontId="13" fillId="4" borderId="32" xfId="0" applyNumberFormat="1" applyFont="1" applyFill="1" applyBorder="1" applyAlignment="1">
      <alignment horizontal="center" vertical="center" wrapText="1"/>
    </xf>
    <xf numFmtId="0" fontId="13" fillId="4" borderId="28" xfId="0" applyFont="1" applyFill="1" applyBorder="1" applyAlignment="1">
      <alignment horizontal="center" vertical="center" wrapText="1"/>
    </xf>
    <xf numFmtId="0" fontId="13" fillId="4" borderId="5" xfId="0" applyFont="1" applyFill="1" applyBorder="1" applyAlignment="1">
      <alignment horizontal="center" vertical="center" wrapText="1"/>
    </xf>
    <xf numFmtId="0" fontId="13" fillId="4" borderId="36" xfId="0" applyFont="1" applyFill="1" applyBorder="1" applyAlignment="1">
      <alignment horizontal="center" vertical="center" wrapText="1"/>
    </xf>
    <xf numFmtId="0" fontId="13" fillId="4" borderId="30" xfId="0" applyFont="1" applyFill="1" applyBorder="1" applyAlignment="1">
      <alignment horizontal="center" vertical="center" wrapText="1"/>
    </xf>
    <xf numFmtId="0" fontId="13" fillId="4" borderId="32" xfId="0" applyFont="1" applyFill="1" applyBorder="1" applyAlignment="1">
      <alignment horizontal="center" vertical="center" wrapText="1"/>
    </xf>
    <xf numFmtId="0" fontId="13" fillId="4" borderId="31" xfId="0" applyFont="1" applyFill="1" applyBorder="1" applyAlignment="1">
      <alignment horizontal="center" vertical="center" wrapText="1"/>
    </xf>
    <xf numFmtId="0" fontId="13" fillId="4" borderId="29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 wrapText="1"/>
    </xf>
    <xf numFmtId="3" fontId="11" fillId="2" borderId="46" xfId="0" applyNumberFormat="1" applyFont="1" applyFill="1" applyBorder="1" applyAlignment="1">
      <alignment horizontal="center"/>
    </xf>
    <xf numFmtId="3" fontId="11" fillId="2" borderId="44" xfId="0" applyNumberFormat="1" applyFont="1" applyFill="1" applyBorder="1" applyAlignment="1">
      <alignment horizontal="center"/>
    </xf>
    <xf numFmtId="3" fontId="11" fillId="0" borderId="46" xfId="0" applyNumberFormat="1" applyFont="1" applyBorder="1" applyAlignment="1">
      <alignment horizontal="center"/>
    </xf>
    <xf numFmtId="3" fontId="11" fillId="0" borderId="44" xfId="0" applyNumberFormat="1" applyFont="1" applyBorder="1" applyAlignment="1">
      <alignment horizontal="center"/>
    </xf>
    <xf numFmtId="3" fontId="11" fillId="4" borderId="45" xfId="0" applyNumberFormat="1" applyFont="1" applyFill="1" applyBorder="1" applyAlignment="1">
      <alignment horizontal="center"/>
    </xf>
    <xf numFmtId="3" fontId="11" fillId="4" borderId="44" xfId="0" applyNumberFormat="1" applyFont="1" applyFill="1" applyBorder="1" applyAlignment="1">
      <alignment horizontal="center"/>
    </xf>
    <xf numFmtId="164" fontId="11" fillId="2" borderId="46" xfId="0" applyNumberFormat="1" applyFont="1" applyFill="1" applyBorder="1" applyAlignment="1">
      <alignment horizontal="center"/>
    </xf>
    <xf numFmtId="164" fontId="11" fillId="2" borderId="44" xfId="0" applyNumberFormat="1" applyFont="1" applyFill="1" applyBorder="1" applyAlignment="1">
      <alignment horizontal="center"/>
    </xf>
    <xf numFmtId="0" fontId="5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2" fontId="15" fillId="0" borderId="10" xfId="0" applyNumberFormat="1" applyFont="1" applyBorder="1" applyAlignment="1">
      <alignment horizontal="center" vertical="center" wrapText="1"/>
    </xf>
    <xf numFmtId="2" fontId="15" fillId="0" borderId="12" xfId="0" applyNumberFormat="1" applyFont="1" applyBorder="1" applyAlignment="1">
      <alignment horizontal="center" vertical="center" wrapText="1"/>
    </xf>
    <xf numFmtId="2" fontId="15" fillId="0" borderId="11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/>
    </xf>
    <xf numFmtId="0" fontId="23" fillId="0" borderId="0" xfId="0" applyFont="1" applyAlignment="1">
      <alignment horizontal="center" wrapText="1"/>
    </xf>
  </cellXfs>
  <cellStyles count="5">
    <cellStyle name="Обычный" xfId="0" builtinId="0"/>
    <cellStyle name="Обычный 2" xfId="3" xr:uid="{00000000-0005-0000-0000-000001000000}"/>
    <cellStyle name="Обычный 2 2 2" xfId="4" xr:uid="{00000000-0005-0000-0000-000002000000}"/>
    <cellStyle name="Обычный 3 2" xfId="2" xr:uid="{00000000-0005-0000-0000-000003000000}"/>
    <cellStyle name="Процентный" xfId="1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47;&#1084;&#1110;&#1085;&#1072;%20&#1090;&#1072;&#1088;&#1080;&#1092;&#1091;\_&#1050;&#1055;%20&#1042;&#1086;&#1083;&#1086;&#1089;&#1100;&#1082;&#1110;%20&#1084;&#1077;&#1088;&#1077;&#1078;&#1110;%202022%202801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лік"/>
      <sheetName val="заява"/>
      <sheetName val="річний план"/>
      <sheetName val="обсяги_факт"/>
      <sheetName val="структура_полн"/>
      <sheetName val="структура "/>
      <sheetName val="розрахунок тарифу"/>
      <sheetName val="покупна вода"/>
      <sheetName val="ФОТ"/>
      <sheetName val="штат"/>
      <sheetName val="эл.энергия"/>
      <sheetName val="эл.оборуд."/>
      <sheetName val="загальновироб"/>
      <sheetName val="ПММ"/>
      <sheetName val="ОхронаПраці"/>
      <sheetName val="админ"/>
      <sheetName val="збут"/>
      <sheetName val="інші"/>
      <sheetName val="фін.расх"/>
    </sheetNames>
    <sheetDataSet>
      <sheetData sheetId="0"/>
      <sheetData sheetId="1"/>
      <sheetData sheetId="2"/>
      <sheetData sheetId="3">
        <row r="5">
          <cell r="P5">
            <v>0</v>
          </cell>
        </row>
        <row r="7">
          <cell r="P7">
            <v>0</v>
          </cell>
        </row>
        <row r="8">
          <cell r="P8">
            <v>0</v>
          </cell>
        </row>
      </sheetData>
      <sheetData sheetId="4"/>
      <sheetData sheetId="5"/>
      <sheetData sheetId="6"/>
      <sheetData sheetId="7"/>
      <sheetData sheetId="8"/>
      <sheetData sheetId="9">
        <row r="16">
          <cell r="C16">
            <v>2.25</v>
          </cell>
        </row>
      </sheetData>
      <sheetData sheetId="10"/>
      <sheetData sheetId="11"/>
      <sheetData sheetId="12">
        <row r="10">
          <cell r="I10">
            <v>0</v>
          </cell>
        </row>
        <row r="11">
          <cell r="I11">
            <v>0</v>
          </cell>
        </row>
        <row r="15">
          <cell r="I15">
            <v>0</v>
          </cell>
        </row>
      </sheetData>
      <sheetData sheetId="13"/>
      <sheetData sheetId="14"/>
      <sheetData sheetId="15">
        <row r="17">
          <cell r="I17">
            <v>0</v>
          </cell>
        </row>
      </sheetData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37"/>
  <sheetViews>
    <sheetView tabSelected="1" topLeftCell="A4" workbookViewId="0">
      <selection activeCell="A29" sqref="A29:XFD29"/>
    </sheetView>
  </sheetViews>
  <sheetFormatPr defaultRowHeight="15" x14ac:dyDescent="0.25"/>
  <cols>
    <col min="1" max="1" width="28.28515625" customWidth="1"/>
    <col min="2" max="2" width="29.7109375" customWidth="1"/>
    <col min="3" max="3" width="35.85546875" customWidth="1"/>
  </cols>
  <sheetData>
    <row r="1" spans="1:3" ht="47.25" x14ac:dyDescent="0.25">
      <c r="A1" s="62"/>
      <c r="B1" s="62"/>
      <c r="C1" s="64" t="s">
        <v>195</v>
      </c>
    </row>
    <row r="2" spans="1:3" ht="15.75" x14ac:dyDescent="0.25">
      <c r="A2" s="62"/>
      <c r="B2" s="62"/>
      <c r="C2" s="222" t="s">
        <v>365</v>
      </c>
    </row>
    <row r="3" spans="1:3" ht="15.75" x14ac:dyDescent="0.25">
      <c r="A3" s="62"/>
      <c r="B3" s="62"/>
      <c r="C3" s="68" t="s">
        <v>184</v>
      </c>
    </row>
    <row r="4" spans="1:3" ht="15.75" x14ac:dyDescent="0.25">
      <c r="A4" s="62"/>
      <c r="B4" s="62"/>
      <c r="C4" s="67" t="s">
        <v>392</v>
      </c>
    </row>
    <row r="5" spans="1:3" ht="15.75" x14ac:dyDescent="0.25">
      <c r="A5" s="62"/>
      <c r="B5" s="62"/>
      <c r="C5" s="67" t="s">
        <v>393</v>
      </c>
    </row>
    <row r="6" spans="1:3" ht="30.75" customHeight="1" x14ac:dyDescent="0.25">
      <c r="A6" s="62"/>
      <c r="B6" s="62"/>
      <c r="C6" s="62"/>
    </row>
    <row r="7" spans="1:3" ht="15.75" x14ac:dyDescent="0.25">
      <c r="A7" s="282" t="s">
        <v>185</v>
      </c>
      <c r="B7" s="282"/>
      <c r="C7" s="282"/>
    </row>
    <row r="8" spans="1:3" ht="15.75" x14ac:dyDescent="0.25">
      <c r="A8" s="282" t="s">
        <v>186</v>
      </c>
      <c r="B8" s="282"/>
      <c r="C8" s="282"/>
    </row>
    <row r="9" spans="1:3" ht="15.75" x14ac:dyDescent="0.25">
      <c r="A9" s="223"/>
      <c r="B9" s="62"/>
      <c r="C9" s="62"/>
    </row>
    <row r="10" spans="1:3" ht="36" customHeight="1" x14ac:dyDescent="0.25">
      <c r="A10" s="283" t="s">
        <v>196</v>
      </c>
      <c r="B10" s="283"/>
      <c r="C10" s="283"/>
    </row>
    <row r="11" spans="1:3" ht="15.75" customHeight="1" x14ac:dyDescent="0.25">
      <c r="A11" s="283" t="s">
        <v>187</v>
      </c>
      <c r="B11" s="283"/>
      <c r="C11" s="283"/>
    </row>
    <row r="12" spans="1:3" ht="35.450000000000003" customHeight="1" x14ac:dyDescent="0.25">
      <c r="A12" s="284" t="s">
        <v>383</v>
      </c>
      <c r="B12" s="284"/>
      <c r="C12" s="284"/>
    </row>
    <row r="13" spans="1:3" ht="15.75" customHeight="1" x14ac:dyDescent="0.25">
      <c r="A13" s="283" t="s">
        <v>188</v>
      </c>
      <c r="B13" s="283"/>
      <c r="C13" s="283"/>
    </row>
    <row r="14" spans="1:3" ht="15.75" x14ac:dyDescent="0.25">
      <c r="A14" s="285"/>
      <c r="B14" s="285"/>
      <c r="C14" s="285"/>
    </row>
    <row r="15" spans="1:3" ht="15.75" customHeight="1" x14ac:dyDescent="0.25">
      <c r="A15" s="281" t="s">
        <v>197</v>
      </c>
      <c r="B15" s="281"/>
      <c r="C15" s="281"/>
    </row>
    <row r="16" spans="1:3" ht="15.75" customHeight="1" x14ac:dyDescent="0.25">
      <c r="A16" s="286" t="s">
        <v>198</v>
      </c>
      <c r="B16" s="286"/>
      <c r="C16" s="286"/>
    </row>
    <row r="17" spans="1:3" ht="15.75" customHeight="1" x14ac:dyDescent="0.25">
      <c r="A17" s="287" t="s">
        <v>189</v>
      </c>
      <c r="B17" s="287"/>
      <c r="C17" s="287"/>
    </row>
    <row r="18" spans="1:3" ht="15.75" x14ac:dyDescent="0.25">
      <c r="A18" s="285"/>
      <c r="B18" s="285"/>
      <c r="C18" s="285"/>
    </row>
    <row r="19" spans="1:3" ht="15.75" customHeight="1" x14ac:dyDescent="0.25">
      <c r="A19" s="281" t="s">
        <v>190</v>
      </c>
      <c r="B19" s="281"/>
      <c r="C19" s="281"/>
    </row>
    <row r="20" spans="1:3" ht="15.75" x14ac:dyDescent="0.25">
      <c r="A20" s="285"/>
      <c r="B20" s="285"/>
      <c r="C20" s="285"/>
    </row>
    <row r="21" spans="1:3" ht="15.75" x14ac:dyDescent="0.25">
      <c r="A21" s="281" t="s">
        <v>191</v>
      </c>
      <c r="B21" s="281"/>
      <c r="C21" s="281"/>
    </row>
    <row r="22" spans="1:3" ht="15.75" x14ac:dyDescent="0.25">
      <c r="A22" s="281" t="s">
        <v>192</v>
      </c>
      <c r="B22" s="281"/>
      <c r="C22" s="281"/>
    </row>
    <row r="23" spans="1:3" ht="15.75" x14ac:dyDescent="0.25">
      <c r="A23" s="281" t="s">
        <v>193</v>
      </c>
      <c r="B23" s="281"/>
      <c r="C23" s="281"/>
    </row>
    <row r="24" spans="1:3" ht="15.6" customHeight="1" x14ac:dyDescent="0.25">
      <c r="A24" s="288" t="s">
        <v>361</v>
      </c>
      <c r="B24" s="288"/>
      <c r="C24" s="288"/>
    </row>
    <row r="25" spans="1:3" ht="15.75" x14ac:dyDescent="0.25">
      <c r="A25" s="281" t="s">
        <v>366</v>
      </c>
      <c r="B25" s="281"/>
      <c r="C25" s="281"/>
    </row>
    <row r="26" spans="1:3" ht="15.75" x14ac:dyDescent="0.25">
      <c r="A26" s="281" t="s">
        <v>367</v>
      </c>
      <c r="B26" s="281"/>
      <c r="C26" s="281"/>
    </row>
    <row r="27" spans="1:3" ht="15.6" customHeight="1" x14ac:dyDescent="0.25">
      <c r="A27" s="281" t="s">
        <v>362</v>
      </c>
      <c r="B27" s="281"/>
      <c r="C27" s="281"/>
    </row>
    <row r="28" spans="1:3" ht="15.75" x14ac:dyDescent="0.25">
      <c r="A28" s="281" t="s">
        <v>363</v>
      </c>
      <c r="B28" s="281"/>
      <c r="C28" s="281"/>
    </row>
    <row r="29" spans="1:3" ht="15.75" x14ac:dyDescent="0.25">
      <c r="A29" s="281" t="s">
        <v>368</v>
      </c>
      <c r="B29" s="281"/>
      <c r="C29" s="281"/>
    </row>
    <row r="30" spans="1:3" ht="15.75" x14ac:dyDescent="0.25">
      <c r="A30" s="288" t="s">
        <v>364</v>
      </c>
      <c r="B30" s="288"/>
      <c r="C30" s="288"/>
    </row>
    <row r="31" spans="1:3" ht="15.75" x14ac:dyDescent="0.25">
      <c r="A31" s="281" t="s">
        <v>369</v>
      </c>
      <c r="B31" s="281"/>
      <c r="C31" s="281"/>
    </row>
    <row r="32" spans="1:3" ht="15.75" x14ac:dyDescent="0.25">
      <c r="A32" s="281" t="s">
        <v>370</v>
      </c>
      <c r="B32" s="281"/>
      <c r="C32" s="281"/>
    </row>
    <row r="33" spans="1:3" ht="15.75" x14ac:dyDescent="0.25">
      <c r="A33" s="281"/>
      <c r="B33" s="281"/>
      <c r="C33" s="281"/>
    </row>
    <row r="34" spans="1:3" ht="15.75" x14ac:dyDescent="0.25">
      <c r="A34" s="281"/>
      <c r="B34" s="281"/>
      <c r="C34" s="281"/>
    </row>
    <row r="35" spans="1:3" ht="15.75" x14ac:dyDescent="0.25">
      <c r="A35" s="285" t="s">
        <v>205</v>
      </c>
      <c r="B35" s="221" t="s">
        <v>194</v>
      </c>
      <c r="C35" s="221" t="s">
        <v>206</v>
      </c>
    </row>
    <row r="36" spans="1:3" ht="15.75" x14ac:dyDescent="0.25">
      <c r="A36" s="285"/>
      <c r="B36" s="221" t="s">
        <v>158</v>
      </c>
      <c r="C36" s="221" t="s">
        <v>159</v>
      </c>
    </row>
    <row r="37" spans="1:3" ht="15.75" x14ac:dyDescent="0.25">
      <c r="A37" s="14"/>
      <c r="B37" s="14" t="s">
        <v>160</v>
      </c>
      <c r="C37" s="128"/>
    </row>
  </sheetData>
  <mergeCells count="28">
    <mergeCell ref="A32:C32"/>
    <mergeCell ref="A31:C31"/>
    <mergeCell ref="A33:C33"/>
    <mergeCell ref="A34:C34"/>
    <mergeCell ref="A35:A36"/>
    <mergeCell ref="A30:C30"/>
    <mergeCell ref="A20:C20"/>
    <mergeCell ref="A21:C21"/>
    <mergeCell ref="A22:C22"/>
    <mergeCell ref="A23:C23"/>
    <mergeCell ref="A25:C25"/>
    <mergeCell ref="A26:C26"/>
    <mergeCell ref="A24:C24"/>
    <mergeCell ref="A29:C29"/>
    <mergeCell ref="A27:C27"/>
    <mergeCell ref="A28:C28"/>
    <mergeCell ref="A19:C19"/>
    <mergeCell ref="A7:C7"/>
    <mergeCell ref="A8:C8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</mergeCells>
  <pageMargins left="0.70866141732283472" right="0.70866141732283472" top="2.7165354330708662" bottom="0.74803149606299213" header="0.31496062992125984" footer="0.31496062992125984"/>
  <pageSetup paperSize="9" scale="8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O26"/>
  <sheetViews>
    <sheetView topLeftCell="D10" workbookViewId="0">
      <selection activeCell="H5" sqref="H5"/>
    </sheetView>
  </sheetViews>
  <sheetFormatPr defaultRowHeight="15" x14ac:dyDescent="0.25"/>
  <cols>
    <col min="1" max="1" width="7.7109375" customWidth="1"/>
    <col min="2" max="2" width="29.5703125" customWidth="1"/>
    <col min="3" max="3" width="13.42578125" customWidth="1"/>
    <col min="4" max="4" width="14.28515625" customWidth="1"/>
    <col min="5" max="5" width="12.42578125" customWidth="1"/>
    <col min="6" max="6" width="13" customWidth="1"/>
    <col min="7" max="13" width="12.5703125" bestFit="1" customWidth="1"/>
    <col min="14" max="14" width="11.42578125" customWidth="1"/>
    <col min="15" max="15" width="16.28515625" customWidth="1"/>
  </cols>
  <sheetData>
    <row r="1" spans="1:15" ht="15.75" x14ac:dyDescent="0.25">
      <c r="A1" s="62"/>
      <c r="B1" s="342" t="s">
        <v>286</v>
      </c>
      <c r="C1" s="342"/>
      <c r="D1" s="342"/>
      <c r="E1" s="342"/>
      <c r="F1" s="342"/>
    </row>
    <row r="2" spans="1:15" ht="15.75" x14ac:dyDescent="0.25">
      <c r="A2" s="62"/>
      <c r="B2" s="68"/>
      <c r="C2" s="68"/>
      <c r="D2" s="68"/>
      <c r="E2" s="68"/>
      <c r="F2" s="68"/>
    </row>
    <row r="3" spans="1:15" ht="16.5" thickBot="1" x14ac:dyDescent="0.3">
      <c r="A3" s="62"/>
      <c r="B3" s="62"/>
      <c r="C3" s="62"/>
      <c r="D3" s="62"/>
      <c r="E3" s="62"/>
      <c r="F3" s="83" t="s">
        <v>274</v>
      </c>
    </row>
    <row r="4" spans="1:15" ht="61.9" customHeight="1" x14ac:dyDescent="0.25">
      <c r="A4" s="138" t="s">
        <v>172</v>
      </c>
      <c r="B4" s="139" t="s">
        <v>110</v>
      </c>
      <c r="C4" s="140" t="s">
        <v>161</v>
      </c>
      <c r="D4" s="140" t="s">
        <v>111</v>
      </c>
      <c r="E4" s="140" t="s">
        <v>162</v>
      </c>
      <c r="F4" s="141" t="s">
        <v>408</v>
      </c>
    </row>
    <row r="5" spans="1:15" ht="24" customHeight="1" x14ac:dyDescent="0.25">
      <c r="A5" s="142">
        <v>1</v>
      </c>
      <c r="B5" s="143">
        <v>2</v>
      </c>
      <c r="C5" s="144">
        <v>3</v>
      </c>
      <c r="D5" s="144">
        <v>4</v>
      </c>
      <c r="E5" s="144">
        <v>5</v>
      </c>
      <c r="F5" s="145">
        <v>6</v>
      </c>
    </row>
    <row r="6" spans="1:15" ht="21" customHeight="1" x14ac:dyDescent="0.25">
      <c r="A6" s="129" t="s">
        <v>230</v>
      </c>
      <c r="B6" s="131" t="s">
        <v>165</v>
      </c>
      <c r="C6" s="133">
        <v>51860</v>
      </c>
      <c r="D6" s="133">
        <v>60500</v>
      </c>
      <c r="E6" s="136">
        <v>52000</v>
      </c>
      <c r="F6" s="135">
        <f>E6-C6</f>
        <v>140</v>
      </c>
    </row>
    <row r="7" spans="1:15" ht="24" customHeight="1" x14ac:dyDescent="0.25">
      <c r="A7" s="129" t="s">
        <v>231</v>
      </c>
      <c r="B7" s="131" t="s">
        <v>163</v>
      </c>
      <c r="C7" s="133">
        <v>247071.45</v>
      </c>
      <c r="D7" s="277">
        <v>229900</v>
      </c>
      <c r="E7" s="278">
        <f>E6*E8</f>
        <v>338000</v>
      </c>
      <c r="F7" s="135">
        <f t="shared" ref="F7:F8" si="0">E7-C7</f>
        <v>90928.549999999988</v>
      </c>
    </row>
    <row r="8" spans="1:15" ht="16.5" thickBot="1" x14ac:dyDescent="0.3">
      <c r="A8" s="130" t="s">
        <v>233</v>
      </c>
      <c r="B8" s="132" t="s">
        <v>164</v>
      </c>
      <c r="C8" s="134">
        <f>C7/C6</f>
        <v>4.7642007327419975</v>
      </c>
      <c r="D8" s="134">
        <f>D7/D6</f>
        <v>3.8</v>
      </c>
      <c r="E8" s="137">
        <v>6.5</v>
      </c>
      <c r="F8" s="247">
        <f t="shared" si="0"/>
        <v>1.7357992672580025</v>
      </c>
    </row>
    <row r="9" spans="1:15" ht="15.75" x14ac:dyDescent="0.25">
      <c r="A9" s="62"/>
      <c r="B9" s="62"/>
      <c r="C9" s="62"/>
      <c r="D9" s="62"/>
      <c r="E9" s="62"/>
      <c r="F9" s="62"/>
    </row>
    <row r="10" spans="1:15" ht="54" customHeight="1" x14ac:dyDescent="0.25">
      <c r="A10" s="62"/>
      <c r="B10" s="62"/>
      <c r="C10" s="62"/>
      <c r="D10" s="62"/>
      <c r="E10" s="62"/>
      <c r="F10" s="62"/>
    </row>
    <row r="11" spans="1:15" ht="15.6" customHeight="1" x14ac:dyDescent="0.25">
      <c r="A11" s="62"/>
      <c r="B11" s="297" t="s">
        <v>205</v>
      </c>
      <c r="C11" s="14"/>
      <c r="D11" s="14"/>
      <c r="E11" s="283" t="s">
        <v>206</v>
      </c>
      <c r="F11" s="283"/>
    </row>
    <row r="12" spans="1:15" ht="14.45" customHeight="1" x14ac:dyDescent="0.25">
      <c r="A12" s="62"/>
      <c r="B12" s="297"/>
      <c r="C12" s="128"/>
      <c r="D12" s="63" t="s">
        <v>158</v>
      </c>
      <c r="E12" s="283" t="s">
        <v>159</v>
      </c>
      <c r="F12" s="283"/>
    </row>
    <row r="13" spans="1:15" ht="15.75" x14ac:dyDescent="0.25">
      <c r="A13" s="62"/>
      <c r="B13" s="64"/>
      <c r="C13" s="14"/>
      <c r="D13" s="14" t="s">
        <v>160</v>
      </c>
      <c r="E13" s="62"/>
      <c r="F13" s="62"/>
    </row>
    <row r="14" spans="1:15" ht="15.75" x14ac:dyDescent="0.25">
      <c r="A14" s="62"/>
      <c r="B14" s="62"/>
      <c r="C14" s="62"/>
      <c r="D14" s="62"/>
      <c r="E14" s="62"/>
      <c r="F14" s="62"/>
    </row>
    <row r="15" spans="1:15" ht="15.75" x14ac:dyDescent="0.25">
      <c r="A15" s="62"/>
      <c r="B15" s="342" t="s">
        <v>394</v>
      </c>
      <c r="C15" s="342"/>
      <c r="D15" s="342"/>
      <c r="E15" s="342"/>
      <c r="F15" s="342"/>
    </row>
    <row r="16" spans="1:15" ht="15.75" thickBot="1" x14ac:dyDescent="0.3">
      <c r="O16" t="s">
        <v>414</v>
      </c>
    </row>
    <row r="17" spans="1:15" ht="25.5" customHeight="1" x14ac:dyDescent="0.25">
      <c r="A17" s="101" t="s">
        <v>172</v>
      </c>
      <c r="B17" s="226" t="s">
        <v>110</v>
      </c>
      <c r="C17" s="226" t="s">
        <v>2</v>
      </c>
      <c r="D17" s="226" t="s">
        <v>3</v>
      </c>
      <c r="E17" s="226" t="s">
        <v>4</v>
      </c>
      <c r="F17" s="226" t="s">
        <v>5</v>
      </c>
      <c r="G17" s="226" t="s">
        <v>6</v>
      </c>
      <c r="H17" s="226" t="s">
        <v>7</v>
      </c>
      <c r="I17" s="226" t="s">
        <v>8</v>
      </c>
      <c r="J17" s="226" t="s">
        <v>9</v>
      </c>
      <c r="K17" s="226" t="s">
        <v>10</v>
      </c>
      <c r="L17" s="226" t="s">
        <v>11</v>
      </c>
      <c r="M17" s="226" t="s">
        <v>12</v>
      </c>
      <c r="N17" s="103" t="s">
        <v>13</v>
      </c>
      <c r="O17" s="104" t="s">
        <v>39</v>
      </c>
    </row>
    <row r="18" spans="1:15" ht="15.75" x14ac:dyDescent="0.25">
      <c r="A18" s="95">
        <v>1</v>
      </c>
      <c r="B18" s="85">
        <v>2</v>
      </c>
      <c r="C18" s="85">
        <v>3</v>
      </c>
      <c r="D18" s="85">
        <v>4</v>
      </c>
      <c r="E18" s="85">
        <v>5</v>
      </c>
      <c r="F18" s="85">
        <v>6</v>
      </c>
      <c r="G18" s="85">
        <v>7</v>
      </c>
      <c r="H18" s="85">
        <v>8</v>
      </c>
      <c r="I18" s="85">
        <v>9</v>
      </c>
      <c r="J18" s="85">
        <v>10</v>
      </c>
      <c r="K18" s="85">
        <v>11</v>
      </c>
      <c r="L18" s="85">
        <v>12</v>
      </c>
      <c r="M18" s="85">
        <v>13</v>
      </c>
      <c r="N18" s="92">
        <v>14</v>
      </c>
      <c r="O18" s="99">
        <v>15</v>
      </c>
    </row>
    <row r="19" spans="1:15" ht="15.75" x14ac:dyDescent="0.25">
      <c r="A19" s="224" t="s">
        <v>230</v>
      </c>
      <c r="B19" s="230" t="s">
        <v>165</v>
      </c>
      <c r="C19" s="70">
        <v>4121</v>
      </c>
      <c r="D19" s="70">
        <v>3970</v>
      </c>
      <c r="E19" s="70">
        <v>3969</v>
      </c>
      <c r="F19" s="70">
        <v>3500</v>
      </c>
      <c r="G19" s="70">
        <v>3677</v>
      </c>
      <c r="H19" s="70">
        <v>4653</v>
      </c>
      <c r="I19" s="70">
        <v>5108</v>
      </c>
      <c r="J19" s="70">
        <v>5778</v>
      </c>
      <c r="K19" s="70">
        <v>5098</v>
      </c>
      <c r="L19" s="70">
        <v>3959</v>
      </c>
      <c r="M19" s="70">
        <v>4108</v>
      </c>
      <c r="N19" s="108">
        <v>3919</v>
      </c>
      <c r="O19" s="98">
        <v>51860</v>
      </c>
    </row>
    <row r="20" spans="1:15" ht="15.75" x14ac:dyDescent="0.25">
      <c r="A20" s="224" t="s">
        <v>231</v>
      </c>
      <c r="B20" s="230" t="s">
        <v>163</v>
      </c>
      <c r="C20" s="73">
        <v>22107.23</v>
      </c>
      <c r="D20" s="73">
        <v>22163.03</v>
      </c>
      <c r="E20" s="73">
        <v>18075.89</v>
      </c>
      <c r="F20" s="73">
        <v>14799.71</v>
      </c>
      <c r="G20" s="73">
        <v>13531.42</v>
      </c>
      <c r="H20" s="73">
        <v>18013.09</v>
      </c>
      <c r="I20" s="73">
        <v>22134.3</v>
      </c>
      <c r="J20" s="73">
        <v>25077.59</v>
      </c>
      <c r="K20" s="73">
        <v>23505.3</v>
      </c>
      <c r="L20" s="73">
        <v>20777.66</v>
      </c>
      <c r="M20" s="73">
        <v>23612.83</v>
      </c>
      <c r="N20" s="97">
        <v>23273.4</v>
      </c>
      <c r="O20" s="120">
        <v>247071.44999999998</v>
      </c>
    </row>
    <row r="21" spans="1:15" ht="16.5" thickBot="1" x14ac:dyDescent="0.3">
      <c r="A21" s="225" t="s">
        <v>233</v>
      </c>
      <c r="B21" s="231" t="s">
        <v>384</v>
      </c>
      <c r="C21" s="227">
        <f>C20/C19</f>
        <v>5.364530453773356</v>
      </c>
      <c r="D21" s="227">
        <f t="shared" ref="D21:O21" si="1">D20/D19</f>
        <v>5.5826272040302261</v>
      </c>
      <c r="E21" s="227">
        <f t="shared" si="1"/>
        <v>4.5542680776014111</v>
      </c>
      <c r="F21" s="227">
        <f t="shared" si="1"/>
        <v>4.2284885714285716</v>
      </c>
      <c r="G21" s="227">
        <f t="shared" si="1"/>
        <v>3.6800163176502583</v>
      </c>
      <c r="H21" s="227">
        <f t="shared" si="1"/>
        <v>3.8712851923490224</v>
      </c>
      <c r="I21" s="227">
        <f t="shared" si="1"/>
        <v>4.3332615505090057</v>
      </c>
      <c r="J21" s="227">
        <f t="shared" si="1"/>
        <v>4.3401851851851854</v>
      </c>
      <c r="K21" s="227">
        <f t="shared" si="1"/>
        <v>4.6106904668497446</v>
      </c>
      <c r="L21" s="227">
        <f t="shared" si="1"/>
        <v>5.2482091437231624</v>
      </c>
      <c r="M21" s="227">
        <f t="shared" si="1"/>
        <v>5.7480111976630965</v>
      </c>
      <c r="N21" s="228">
        <f t="shared" si="1"/>
        <v>5.9386067874457771</v>
      </c>
      <c r="O21" s="229">
        <f t="shared" si="1"/>
        <v>4.7642007327419975</v>
      </c>
    </row>
    <row r="23" spans="1:15" ht="67.150000000000006" customHeight="1" x14ac:dyDescent="0.25"/>
    <row r="24" spans="1:15" ht="15.75" x14ac:dyDescent="0.25">
      <c r="B24" s="297" t="s">
        <v>205</v>
      </c>
      <c r="C24" s="14"/>
      <c r="D24" s="14"/>
      <c r="E24" s="283" t="s">
        <v>206</v>
      </c>
      <c r="F24" s="283"/>
    </row>
    <row r="25" spans="1:15" ht="15.75" x14ac:dyDescent="0.25">
      <c r="B25" s="297"/>
      <c r="C25" s="128"/>
      <c r="D25" s="63" t="s">
        <v>158</v>
      </c>
      <c r="E25" s="283" t="s">
        <v>159</v>
      </c>
      <c r="F25" s="283"/>
    </row>
    <row r="26" spans="1:15" ht="15.75" x14ac:dyDescent="0.25">
      <c r="B26" s="64"/>
      <c r="C26" s="14"/>
      <c r="D26" s="14" t="s">
        <v>160</v>
      </c>
      <c r="E26" s="62"/>
      <c r="F26" s="62"/>
    </row>
  </sheetData>
  <mergeCells count="8">
    <mergeCell ref="E11:F11"/>
    <mergeCell ref="E12:F12"/>
    <mergeCell ref="B1:F1"/>
    <mergeCell ref="B11:B12"/>
    <mergeCell ref="B24:B25"/>
    <mergeCell ref="E24:F24"/>
    <mergeCell ref="E25:F25"/>
    <mergeCell ref="B15:F15"/>
  </mergeCells>
  <pageMargins left="0.31496062992125984" right="0.31496062992125984" top="0.78740157480314965" bottom="0.74803149606299213" header="0.31496062992125984" footer="0.31496062992125984"/>
  <pageSetup paperSize="9" scale="68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H24"/>
  <sheetViews>
    <sheetView topLeftCell="A7" workbookViewId="0">
      <selection activeCell="J8" sqref="J8"/>
    </sheetView>
  </sheetViews>
  <sheetFormatPr defaultRowHeight="15" x14ac:dyDescent="0.25"/>
  <cols>
    <col min="2" max="2" width="44.7109375" customWidth="1"/>
    <col min="3" max="3" width="17.28515625" customWidth="1"/>
    <col min="4" max="4" width="14.7109375" customWidth="1"/>
    <col min="5" max="5" width="28.28515625" customWidth="1"/>
    <col min="6" max="6" width="14.7109375" customWidth="1"/>
    <col min="7" max="7" width="17.5703125" customWidth="1"/>
    <col min="8" max="8" width="19.5703125" customWidth="1"/>
  </cols>
  <sheetData>
    <row r="1" spans="1:8" ht="15.75" x14ac:dyDescent="0.25">
      <c r="A1" s="342" t="s">
        <v>377</v>
      </c>
      <c r="B1" s="342"/>
      <c r="C1" s="342"/>
      <c r="D1" s="342"/>
      <c r="E1" s="342"/>
      <c r="F1" s="342"/>
      <c r="G1" s="342"/>
      <c r="H1" s="342"/>
    </row>
    <row r="2" spans="1:8" ht="15.75" x14ac:dyDescent="0.25">
      <c r="A2" s="62"/>
      <c r="B2" s="62"/>
      <c r="C2" s="62"/>
      <c r="D2" s="62"/>
      <c r="E2" s="62"/>
      <c r="F2" s="62"/>
      <c r="G2" s="62"/>
      <c r="H2" s="62"/>
    </row>
    <row r="3" spans="1:8" ht="15.75" x14ac:dyDescent="0.25">
      <c r="A3" s="62"/>
      <c r="B3" s="62"/>
      <c r="C3" s="62"/>
      <c r="D3" s="62"/>
      <c r="E3" s="62"/>
      <c r="F3" s="62"/>
      <c r="G3" s="62"/>
      <c r="H3" s="83" t="s">
        <v>415</v>
      </c>
    </row>
    <row r="4" spans="1:8" ht="110.25" x14ac:dyDescent="0.25">
      <c r="A4" s="84" t="s">
        <v>172</v>
      </c>
      <c r="B4" s="84" t="s">
        <v>344</v>
      </c>
      <c r="C4" s="84" t="s">
        <v>379</v>
      </c>
      <c r="D4" s="84" t="s">
        <v>398</v>
      </c>
      <c r="E4" s="84" t="s">
        <v>345</v>
      </c>
      <c r="F4" s="84" t="s">
        <v>346</v>
      </c>
      <c r="G4" s="84" t="s">
        <v>347</v>
      </c>
      <c r="H4" s="84" t="s">
        <v>348</v>
      </c>
    </row>
    <row r="5" spans="1:8" ht="15.75" x14ac:dyDescent="0.25">
      <c r="A5" s="85">
        <v>1</v>
      </c>
      <c r="B5" s="85">
        <v>2</v>
      </c>
      <c r="C5" s="85">
        <v>4</v>
      </c>
      <c r="D5" s="85">
        <v>5</v>
      </c>
      <c r="E5" s="85">
        <v>6</v>
      </c>
      <c r="F5" s="85">
        <v>7</v>
      </c>
      <c r="G5" s="85">
        <v>8</v>
      </c>
      <c r="H5" s="85">
        <v>9</v>
      </c>
    </row>
    <row r="6" spans="1:8" ht="15.75" x14ac:dyDescent="0.25">
      <c r="A6" s="86" t="s">
        <v>230</v>
      </c>
      <c r="B6" s="86" t="s">
        <v>349</v>
      </c>
      <c r="C6" s="70"/>
      <c r="D6" s="70"/>
      <c r="E6" s="70"/>
      <c r="F6" s="70"/>
      <c r="G6" s="70"/>
      <c r="H6" s="70"/>
    </row>
    <row r="7" spans="1:8" ht="15.75" x14ac:dyDescent="0.25">
      <c r="A7" s="71" t="s">
        <v>227</v>
      </c>
      <c r="B7" s="71" t="s">
        <v>350</v>
      </c>
      <c r="C7" s="70">
        <v>120</v>
      </c>
      <c r="D7" s="73">
        <v>67158.33</v>
      </c>
      <c r="E7" s="344" t="s">
        <v>378</v>
      </c>
      <c r="F7" s="73">
        <f>D7/C7*12</f>
        <v>6715.8329999999996</v>
      </c>
      <c r="G7" s="70" t="s">
        <v>357</v>
      </c>
      <c r="H7" s="70" t="s">
        <v>359</v>
      </c>
    </row>
    <row r="8" spans="1:8" ht="15.75" x14ac:dyDescent="0.25">
      <c r="A8" s="71" t="s">
        <v>228</v>
      </c>
      <c r="B8" s="71" t="s">
        <v>351</v>
      </c>
      <c r="C8" s="70">
        <v>240</v>
      </c>
      <c r="D8" s="73">
        <f>1633.37+60000</f>
        <v>61633.37</v>
      </c>
      <c r="E8" s="345"/>
      <c r="F8" s="73">
        <f>D8/C8*12</f>
        <v>3081.6685000000007</v>
      </c>
      <c r="G8" s="70" t="s">
        <v>357</v>
      </c>
      <c r="H8" s="70" t="s">
        <v>359</v>
      </c>
    </row>
    <row r="9" spans="1:8" ht="15.75" x14ac:dyDescent="0.25">
      <c r="A9" s="71" t="s">
        <v>235</v>
      </c>
      <c r="B9" s="71" t="s">
        <v>352</v>
      </c>
      <c r="C9" s="70">
        <v>60</v>
      </c>
      <c r="D9" s="73">
        <v>1633.37</v>
      </c>
      <c r="E9" s="345"/>
      <c r="F9" s="73">
        <v>399.96</v>
      </c>
      <c r="G9" s="70" t="s">
        <v>357</v>
      </c>
      <c r="H9" s="70" t="s">
        <v>359</v>
      </c>
    </row>
    <row r="10" spans="1:8" ht="15.75" x14ac:dyDescent="0.25">
      <c r="A10" s="71" t="s">
        <v>236</v>
      </c>
      <c r="B10" s="71" t="s">
        <v>353</v>
      </c>
      <c r="C10" s="70">
        <v>60</v>
      </c>
      <c r="D10" s="73">
        <v>1633.37</v>
      </c>
      <c r="E10" s="345"/>
      <c r="F10" s="73">
        <v>399.96</v>
      </c>
      <c r="G10" s="70" t="s">
        <v>357</v>
      </c>
      <c r="H10" s="70" t="s">
        <v>359</v>
      </c>
    </row>
    <row r="11" spans="1:8" ht="15.75" x14ac:dyDescent="0.25">
      <c r="A11" s="86" t="s">
        <v>231</v>
      </c>
      <c r="B11" s="86" t="s">
        <v>354</v>
      </c>
      <c r="C11" s="70"/>
      <c r="D11" s="73"/>
      <c r="E11" s="345"/>
      <c r="F11" s="73"/>
      <c r="G11" s="70"/>
      <c r="H11" s="70"/>
    </row>
    <row r="12" spans="1:8" ht="15.75" x14ac:dyDescent="0.25">
      <c r="A12" s="71" t="s">
        <v>229</v>
      </c>
      <c r="B12" s="71" t="s">
        <v>355</v>
      </c>
      <c r="C12" s="70">
        <v>24</v>
      </c>
      <c r="D12" s="73">
        <v>2166.63</v>
      </c>
      <c r="E12" s="345"/>
      <c r="F12" s="73">
        <v>2000.04</v>
      </c>
      <c r="G12" s="70" t="s">
        <v>357</v>
      </c>
      <c r="H12" s="70" t="s">
        <v>358</v>
      </c>
    </row>
    <row r="13" spans="1:8" ht="15.75" x14ac:dyDescent="0.25">
      <c r="A13" s="71" t="s">
        <v>232</v>
      </c>
      <c r="B13" s="71" t="s">
        <v>356</v>
      </c>
      <c r="C13" s="70">
        <v>24</v>
      </c>
      <c r="D13" s="73">
        <v>2166.63</v>
      </c>
      <c r="E13" s="345"/>
      <c r="F13" s="73">
        <v>2000.04</v>
      </c>
      <c r="G13" s="70" t="s">
        <v>357</v>
      </c>
      <c r="H13" s="70" t="s">
        <v>358</v>
      </c>
    </row>
    <row r="14" spans="1:8" ht="15.75" x14ac:dyDescent="0.25">
      <c r="A14" s="86" t="s">
        <v>233</v>
      </c>
      <c r="B14" s="86" t="s">
        <v>360</v>
      </c>
      <c r="C14" s="70"/>
      <c r="D14" s="73"/>
      <c r="E14" s="345"/>
      <c r="F14" s="73"/>
      <c r="G14" s="70"/>
      <c r="H14" s="70"/>
    </row>
    <row r="15" spans="1:8" ht="15.75" x14ac:dyDescent="0.25">
      <c r="A15" s="71" t="s">
        <v>312</v>
      </c>
      <c r="B15" s="71" t="s">
        <v>47</v>
      </c>
      <c r="C15" s="70"/>
      <c r="D15" s="73"/>
      <c r="E15" s="345"/>
      <c r="F15" s="87">
        <f>F7+F8+F9+F10</f>
        <v>10597.421499999999</v>
      </c>
      <c r="G15" s="70"/>
      <c r="H15" s="70"/>
    </row>
    <row r="16" spans="1:8" ht="15.75" x14ac:dyDescent="0.25">
      <c r="A16" s="71" t="s">
        <v>313</v>
      </c>
      <c r="B16" s="71" t="s">
        <v>46</v>
      </c>
      <c r="C16" s="70"/>
      <c r="D16" s="73"/>
      <c r="E16" s="346"/>
      <c r="F16" s="87">
        <f>F12+F13</f>
        <v>4000.08</v>
      </c>
      <c r="G16" s="70"/>
      <c r="H16" s="70"/>
    </row>
    <row r="17" spans="1:8" ht="15.75" x14ac:dyDescent="0.25">
      <c r="A17" s="86" t="s">
        <v>234</v>
      </c>
      <c r="B17" s="86" t="s">
        <v>216</v>
      </c>
      <c r="C17" s="70"/>
      <c r="D17" s="87">
        <f>D7+D8+D9+D10+D12+D13</f>
        <v>136391.70000000001</v>
      </c>
      <c r="E17" s="87"/>
      <c r="F17" s="87">
        <f>F15+F16</f>
        <v>14597.501499999998</v>
      </c>
      <c r="G17" s="70"/>
      <c r="H17" s="70"/>
    </row>
    <row r="18" spans="1:8" ht="15.75" x14ac:dyDescent="0.25">
      <c r="A18" s="62"/>
      <c r="B18" s="62"/>
      <c r="C18" s="62"/>
      <c r="D18" s="62"/>
      <c r="E18" s="62"/>
      <c r="F18" s="62"/>
      <c r="G18" s="62"/>
      <c r="H18" s="62"/>
    </row>
    <row r="19" spans="1:8" ht="85.15" customHeight="1" x14ac:dyDescent="0.25">
      <c r="A19" s="62"/>
      <c r="B19" s="62"/>
      <c r="C19" s="62"/>
      <c r="D19" s="62"/>
      <c r="E19" s="62"/>
      <c r="F19" s="62"/>
      <c r="G19" s="62"/>
      <c r="H19" s="62"/>
    </row>
    <row r="20" spans="1:8" ht="15.75" x14ac:dyDescent="0.25">
      <c r="A20" s="62"/>
      <c r="B20" s="297" t="s">
        <v>205</v>
      </c>
      <c r="C20" s="298" t="s">
        <v>206</v>
      </c>
      <c r="D20" s="298"/>
      <c r="E20" s="298"/>
      <c r="F20" s="298"/>
      <c r="G20" s="298"/>
      <c r="H20" s="62"/>
    </row>
    <row r="21" spans="1:8" ht="15.75" x14ac:dyDescent="0.25">
      <c r="A21" s="62"/>
      <c r="B21" s="297"/>
      <c r="C21" s="63" t="s">
        <v>158</v>
      </c>
      <c r="D21" s="298" t="s">
        <v>159</v>
      </c>
      <c r="E21" s="298"/>
      <c r="F21" s="298"/>
      <c r="G21" s="298"/>
      <c r="H21" s="62"/>
    </row>
    <row r="22" spans="1:8" ht="15.75" x14ac:dyDescent="0.25">
      <c r="A22" s="62"/>
      <c r="B22" s="64"/>
      <c r="C22" s="14" t="s">
        <v>160</v>
      </c>
      <c r="D22" s="62"/>
      <c r="E22" s="62"/>
      <c r="F22" s="62"/>
      <c r="G22" s="62"/>
      <c r="H22" s="62"/>
    </row>
    <row r="23" spans="1:8" ht="15.75" x14ac:dyDescent="0.25">
      <c r="A23" s="62"/>
      <c r="B23" s="64"/>
      <c r="C23" s="14"/>
      <c r="D23" s="62"/>
      <c r="E23" s="62"/>
      <c r="F23" s="62"/>
      <c r="G23" s="62"/>
      <c r="H23" s="62"/>
    </row>
    <row r="24" spans="1:8" ht="15.75" x14ac:dyDescent="0.25">
      <c r="A24" s="62"/>
      <c r="B24" s="62"/>
      <c r="C24" s="62"/>
      <c r="D24" s="62"/>
      <c r="E24" s="62"/>
      <c r="F24" s="62"/>
      <c r="G24" s="62"/>
      <c r="H24" s="62"/>
    </row>
  </sheetData>
  <mergeCells count="5">
    <mergeCell ref="A1:H1"/>
    <mergeCell ref="E7:E16"/>
    <mergeCell ref="B20:B21"/>
    <mergeCell ref="C20:G20"/>
    <mergeCell ref="D21:G21"/>
  </mergeCells>
  <phoneticPr fontId="10" type="noConversion"/>
  <pageMargins left="0.31496062992125984" right="0.31496062992125984" top="0.74803149606299213" bottom="0.74803149606299213" header="0.31496062992125984" footer="0.31496062992125984"/>
  <pageSetup paperSize="9" scale="79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4:I47"/>
  <sheetViews>
    <sheetView view="pageLayout" zoomScaleNormal="100" workbookViewId="0">
      <selection activeCell="E8" sqref="E8"/>
    </sheetView>
  </sheetViews>
  <sheetFormatPr defaultRowHeight="15" x14ac:dyDescent="0.25"/>
  <sheetData>
    <row r="4" spans="1:9" ht="25.5" x14ac:dyDescent="0.35">
      <c r="A4" s="232"/>
      <c r="B4" s="232"/>
      <c r="C4" s="232"/>
      <c r="D4" s="232"/>
      <c r="E4" s="232"/>
      <c r="F4" s="232"/>
      <c r="G4" s="232"/>
      <c r="H4" s="232"/>
      <c r="I4" s="232"/>
    </row>
    <row r="5" spans="1:9" ht="25.5" x14ac:dyDescent="0.35">
      <c r="A5" s="232"/>
      <c r="B5" s="232"/>
      <c r="C5" s="232"/>
      <c r="D5" s="232"/>
      <c r="E5" s="232"/>
      <c r="F5" s="232"/>
      <c r="G5" s="232"/>
      <c r="H5" s="232"/>
      <c r="I5" s="232"/>
    </row>
    <row r="6" spans="1:9" ht="25.5" x14ac:dyDescent="0.35">
      <c r="A6" s="232"/>
      <c r="B6" s="232"/>
      <c r="C6" s="232"/>
      <c r="D6" s="232"/>
      <c r="E6" s="232"/>
      <c r="F6" s="232"/>
      <c r="G6" s="232"/>
      <c r="H6" s="232"/>
      <c r="I6" s="232"/>
    </row>
    <row r="7" spans="1:9" ht="30" x14ac:dyDescent="0.4">
      <c r="A7" s="348" t="s">
        <v>387</v>
      </c>
      <c r="B7" s="348"/>
      <c r="C7" s="348"/>
      <c r="D7" s="348"/>
      <c r="E7" s="348"/>
      <c r="F7" s="348"/>
      <c r="G7" s="348"/>
      <c r="H7" s="348"/>
      <c r="I7" s="348"/>
    </row>
    <row r="8" spans="1:9" ht="25.5" x14ac:dyDescent="0.35">
      <c r="A8" s="232"/>
      <c r="B8" s="232"/>
      <c r="C8" s="232"/>
      <c r="D8" s="232"/>
      <c r="E8" s="232"/>
      <c r="F8" s="232"/>
      <c r="G8" s="232"/>
      <c r="H8" s="232"/>
      <c r="I8" s="232"/>
    </row>
    <row r="9" spans="1:9" ht="55.5" customHeight="1" x14ac:dyDescent="0.4">
      <c r="A9" s="349" t="s">
        <v>388</v>
      </c>
      <c r="B9" s="349"/>
      <c r="C9" s="349"/>
      <c r="D9" s="349"/>
      <c r="E9" s="349"/>
      <c r="F9" s="349"/>
      <c r="G9" s="349"/>
      <c r="H9" s="349"/>
      <c r="I9" s="349"/>
    </row>
    <row r="10" spans="1:9" ht="25.5" x14ac:dyDescent="0.35">
      <c r="A10" s="232"/>
      <c r="B10" s="232"/>
      <c r="C10" s="232"/>
      <c r="D10" s="232"/>
      <c r="E10" s="232"/>
      <c r="F10" s="232"/>
      <c r="G10" s="232"/>
      <c r="H10" s="232"/>
      <c r="I10" s="232"/>
    </row>
    <row r="11" spans="1:9" ht="25.5" x14ac:dyDescent="0.35">
      <c r="A11" s="232"/>
      <c r="B11" s="232"/>
      <c r="C11" s="232"/>
      <c r="D11" s="232"/>
      <c r="E11" s="232"/>
      <c r="F11" s="232"/>
      <c r="G11" s="232"/>
      <c r="H11" s="232"/>
      <c r="I11" s="232"/>
    </row>
    <row r="12" spans="1:9" ht="25.5" x14ac:dyDescent="0.35">
      <c r="A12" s="232"/>
      <c r="B12" s="232"/>
      <c r="C12" s="232"/>
      <c r="D12" s="232"/>
      <c r="E12" s="232"/>
      <c r="F12" s="232"/>
      <c r="G12" s="232"/>
      <c r="H12" s="232"/>
      <c r="I12" s="232"/>
    </row>
    <row r="13" spans="1:9" ht="25.5" x14ac:dyDescent="0.35">
      <c r="A13" s="232"/>
      <c r="B13" s="232"/>
      <c r="C13" s="232"/>
      <c r="D13" s="232"/>
      <c r="E13" s="232"/>
      <c r="F13" s="232"/>
      <c r="G13" s="232"/>
      <c r="H13" s="232"/>
      <c r="I13" s="232"/>
    </row>
    <row r="14" spans="1:9" ht="30" x14ac:dyDescent="0.4">
      <c r="A14" s="348" t="s">
        <v>389</v>
      </c>
      <c r="B14" s="348"/>
      <c r="C14" s="348"/>
      <c r="D14" s="348"/>
      <c r="E14" s="348"/>
      <c r="F14" s="348"/>
      <c r="G14" s="348"/>
      <c r="H14" s="348"/>
      <c r="I14" s="348"/>
    </row>
    <row r="15" spans="1:9" ht="30" x14ac:dyDescent="0.4">
      <c r="A15" s="233"/>
      <c r="B15" s="233"/>
      <c r="C15" s="233"/>
      <c r="D15" s="233"/>
      <c r="E15" s="233"/>
      <c r="F15" s="233"/>
      <c r="G15" s="233"/>
      <c r="H15" s="233"/>
      <c r="I15" s="233"/>
    </row>
    <row r="16" spans="1:9" ht="30" x14ac:dyDescent="0.4">
      <c r="A16" s="348" t="s">
        <v>390</v>
      </c>
      <c r="B16" s="348"/>
      <c r="C16" s="348"/>
      <c r="D16" s="348"/>
      <c r="E16" s="348"/>
      <c r="F16" s="348"/>
      <c r="G16" s="348"/>
      <c r="H16" s="348"/>
      <c r="I16" s="348"/>
    </row>
    <row r="17" spans="1:9" ht="25.5" x14ac:dyDescent="0.35">
      <c r="A17" s="232"/>
      <c r="B17" s="232"/>
      <c r="C17" s="232"/>
      <c r="D17" s="232"/>
      <c r="E17" s="232"/>
      <c r="F17" s="232"/>
      <c r="G17" s="232"/>
      <c r="H17" s="232"/>
      <c r="I17" s="232"/>
    </row>
    <row r="18" spans="1:9" ht="25.5" x14ac:dyDescent="0.35">
      <c r="A18" s="232"/>
      <c r="B18" s="232"/>
      <c r="C18" s="232"/>
      <c r="D18" s="232"/>
      <c r="E18" s="232"/>
      <c r="F18" s="232"/>
      <c r="G18" s="232"/>
      <c r="H18" s="232"/>
      <c r="I18" s="232"/>
    </row>
    <row r="19" spans="1:9" ht="25.5" x14ac:dyDescent="0.35">
      <c r="A19" s="232"/>
      <c r="B19" s="232"/>
      <c r="C19" s="232"/>
      <c r="D19" s="232"/>
      <c r="E19" s="232"/>
      <c r="F19" s="232"/>
      <c r="G19" s="232"/>
      <c r="H19" s="232"/>
      <c r="I19" s="232"/>
    </row>
    <row r="20" spans="1:9" ht="25.5" x14ac:dyDescent="0.35">
      <c r="A20" s="232"/>
      <c r="B20" s="232"/>
      <c r="C20" s="232"/>
      <c r="D20" s="232"/>
      <c r="E20" s="232"/>
      <c r="F20" s="232"/>
      <c r="G20" s="232"/>
      <c r="H20" s="232"/>
      <c r="I20" s="232"/>
    </row>
    <row r="21" spans="1:9" ht="25.5" x14ac:dyDescent="0.35">
      <c r="A21" s="232"/>
      <c r="B21" s="232"/>
      <c r="C21" s="232"/>
      <c r="D21" s="232"/>
      <c r="E21" s="232"/>
      <c r="F21" s="232"/>
      <c r="G21" s="232"/>
      <c r="H21" s="232"/>
      <c r="I21" s="232"/>
    </row>
    <row r="22" spans="1:9" ht="25.5" x14ac:dyDescent="0.35">
      <c r="A22" s="232"/>
      <c r="B22" s="232"/>
      <c r="C22" s="232"/>
      <c r="D22" s="232"/>
      <c r="E22" s="232"/>
      <c r="F22" s="232"/>
      <c r="G22" s="232"/>
      <c r="H22" s="232"/>
      <c r="I22" s="232"/>
    </row>
    <row r="23" spans="1:9" ht="25.5" x14ac:dyDescent="0.35">
      <c r="A23" s="232"/>
      <c r="B23" s="232"/>
      <c r="C23" s="232"/>
      <c r="D23" s="232"/>
      <c r="E23" s="232"/>
      <c r="F23" s="232"/>
      <c r="G23" s="232"/>
      <c r="H23" s="232"/>
      <c r="I23" s="232"/>
    </row>
    <row r="24" spans="1:9" ht="25.5" x14ac:dyDescent="0.35">
      <c r="A24" s="232"/>
      <c r="B24" s="232"/>
      <c r="C24" s="232"/>
      <c r="D24" s="232"/>
      <c r="E24" s="232"/>
      <c r="F24" s="232"/>
      <c r="G24" s="232"/>
      <c r="H24" s="232"/>
      <c r="I24" s="232"/>
    </row>
    <row r="25" spans="1:9" ht="25.5" x14ac:dyDescent="0.35">
      <c r="A25" s="232"/>
      <c r="B25" s="232"/>
      <c r="C25" s="232"/>
      <c r="D25" s="232"/>
      <c r="E25" s="232"/>
      <c r="F25" s="232"/>
      <c r="G25" s="232"/>
      <c r="H25" s="232"/>
      <c r="I25" s="232"/>
    </row>
    <row r="26" spans="1:9" ht="25.5" x14ac:dyDescent="0.35">
      <c r="A26" s="232"/>
      <c r="B26" s="232"/>
      <c r="C26" s="232"/>
      <c r="D26" s="232"/>
      <c r="E26" s="232"/>
      <c r="F26" s="232"/>
      <c r="G26" s="232"/>
      <c r="H26" s="232"/>
      <c r="I26" s="232"/>
    </row>
    <row r="27" spans="1:9" ht="51" customHeight="1" x14ac:dyDescent="0.25">
      <c r="A27" s="347" t="s">
        <v>391</v>
      </c>
      <c r="B27" s="347"/>
      <c r="C27" s="347"/>
      <c r="D27" s="347"/>
      <c r="E27" s="347"/>
      <c r="F27" s="347"/>
      <c r="G27" s="347"/>
      <c r="H27" s="347"/>
      <c r="I27" s="347"/>
    </row>
    <row r="28" spans="1:9" ht="25.5" x14ac:dyDescent="0.35">
      <c r="A28" s="232"/>
      <c r="B28" s="232"/>
      <c r="C28" s="232"/>
      <c r="D28" s="232"/>
      <c r="E28" s="232"/>
      <c r="F28" s="232"/>
      <c r="G28" s="232"/>
      <c r="H28" s="232"/>
      <c r="I28" s="232"/>
    </row>
    <row r="29" spans="1:9" ht="25.5" x14ac:dyDescent="0.35">
      <c r="A29" s="232"/>
      <c r="B29" s="232"/>
      <c r="C29" s="232"/>
      <c r="D29" s="232"/>
      <c r="E29" s="232"/>
      <c r="F29" s="232"/>
      <c r="G29" s="232"/>
      <c r="H29" s="232"/>
      <c r="I29" s="232"/>
    </row>
    <row r="30" spans="1:9" ht="25.5" x14ac:dyDescent="0.35">
      <c r="A30" s="232"/>
      <c r="B30" s="232"/>
      <c r="C30" s="232"/>
      <c r="D30" s="232"/>
      <c r="E30" s="232"/>
      <c r="F30" s="232"/>
      <c r="G30" s="232"/>
      <c r="H30" s="232"/>
      <c r="I30" s="232"/>
    </row>
    <row r="31" spans="1:9" ht="25.5" x14ac:dyDescent="0.35">
      <c r="A31" s="232"/>
      <c r="B31" s="232"/>
      <c r="C31" s="232"/>
      <c r="D31" s="232"/>
      <c r="E31" s="232"/>
      <c r="F31" s="232"/>
      <c r="G31" s="232"/>
      <c r="H31" s="232"/>
      <c r="I31" s="232"/>
    </row>
    <row r="32" spans="1:9" ht="25.5" x14ac:dyDescent="0.35">
      <c r="A32" s="232"/>
      <c r="B32" s="232"/>
      <c r="C32" s="232"/>
      <c r="D32" s="232"/>
      <c r="E32" s="232"/>
      <c r="F32" s="232"/>
      <c r="G32" s="232"/>
      <c r="H32" s="232"/>
      <c r="I32" s="232"/>
    </row>
    <row r="33" spans="1:9" ht="25.5" x14ac:dyDescent="0.35">
      <c r="A33" s="232"/>
      <c r="B33" s="232"/>
      <c r="C33" s="232"/>
      <c r="D33" s="232"/>
      <c r="E33" s="232"/>
      <c r="F33" s="232"/>
      <c r="G33" s="232"/>
      <c r="H33" s="232"/>
      <c r="I33" s="232"/>
    </row>
    <row r="34" spans="1:9" ht="25.5" x14ac:dyDescent="0.35">
      <c r="A34" s="232"/>
      <c r="B34" s="232"/>
      <c r="C34" s="232"/>
      <c r="D34" s="232"/>
      <c r="E34" s="232"/>
      <c r="F34" s="232"/>
      <c r="G34" s="232"/>
      <c r="H34" s="232"/>
      <c r="I34" s="232"/>
    </row>
    <row r="35" spans="1:9" ht="25.5" x14ac:dyDescent="0.35">
      <c r="A35" s="232"/>
      <c r="B35" s="232"/>
      <c r="C35" s="232"/>
      <c r="D35" s="232"/>
      <c r="E35" s="232"/>
      <c r="F35" s="232"/>
      <c r="G35" s="232"/>
      <c r="H35" s="232"/>
      <c r="I35" s="232"/>
    </row>
    <row r="36" spans="1:9" ht="25.5" x14ac:dyDescent="0.35">
      <c r="A36" s="232"/>
      <c r="B36" s="232"/>
      <c r="C36" s="232"/>
      <c r="D36" s="232"/>
      <c r="E36" s="232"/>
      <c r="F36" s="232"/>
      <c r="G36" s="232"/>
      <c r="H36" s="232"/>
      <c r="I36" s="232"/>
    </row>
    <row r="37" spans="1:9" ht="25.5" x14ac:dyDescent="0.35">
      <c r="A37" s="232"/>
      <c r="B37" s="232"/>
      <c r="C37" s="232"/>
      <c r="D37" s="232"/>
      <c r="E37" s="232"/>
      <c r="F37" s="232"/>
      <c r="G37" s="232"/>
      <c r="H37" s="232"/>
      <c r="I37" s="232"/>
    </row>
    <row r="38" spans="1:9" ht="25.5" x14ac:dyDescent="0.35">
      <c r="A38" s="232"/>
      <c r="B38" s="232"/>
      <c r="C38" s="232"/>
      <c r="D38" s="232"/>
      <c r="E38" s="232"/>
      <c r="F38" s="232"/>
      <c r="G38" s="232"/>
      <c r="H38" s="232"/>
      <c r="I38" s="232"/>
    </row>
    <row r="39" spans="1:9" ht="25.5" x14ac:dyDescent="0.35">
      <c r="A39" s="232"/>
      <c r="B39" s="232"/>
      <c r="C39" s="232"/>
      <c r="D39" s="232"/>
      <c r="E39" s="232"/>
      <c r="F39" s="232"/>
      <c r="G39" s="232"/>
      <c r="H39" s="232"/>
      <c r="I39" s="232"/>
    </row>
    <row r="40" spans="1:9" ht="25.5" x14ac:dyDescent="0.35">
      <c r="A40" s="232"/>
      <c r="B40" s="232"/>
      <c r="C40" s="232"/>
      <c r="D40" s="232"/>
      <c r="E40" s="232"/>
      <c r="F40" s="232"/>
      <c r="G40" s="232"/>
      <c r="H40" s="232"/>
      <c r="I40" s="232"/>
    </row>
    <row r="41" spans="1:9" ht="25.5" x14ac:dyDescent="0.35">
      <c r="A41" s="232"/>
      <c r="B41" s="232"/>
      <c r="C41" s="232"/>
      <c r="D41" s="232"/>
      <c r="E41" s="232"/>
      <c r="F41" s="232"/>
      <c r="G41" s="232"/>
      <c r="H41" s="232"/>
      <c r="I41" s="232"/>
    </row>
    <row r="42" spans="1:9" ht="25.5" x14ac:dyDescent="0.35">
      <c r="A42" s="232"/>
      <c r="B42" s="232"/>
      <c r="C42" s="232"/>
      <c r="D42" s="232"/>
      <c r="E42" s="232"/>
      <c r="F42" s="232"/>
      <c r="G42" s="232"/>
      <c r="H42" s="232"/>
      <c r="I42" s="232"/>
    </row>
    <row r="43" spans="1:9" ht="25.5" x14ac:dyDescent="0.35">
      <c r="A43" s="232"/>
      <c r="B43" s="232"/>
      <c r="C43" s="232"/>
      <c r="D43" s="232"/>
      <c r="E43" s="232"/>
      <c r="F43" s="232"/>
      <c r="G43" s="232"/>
      <c r="H43" s="232"/>
      <c r="I43" s="232"/>
    </row>
    <row r="44" spans="1:9" ht="42" customHeight="1" x14ac:dyDescent="0.25">
      <c r="A44" s="347"/>
      <c r="B44" s="347"/>
      <c r="C44" s="347"/>
      <c r="D44" s="347"/>
      <c r="E44" s="347"/>
      <c r="F44" s="347"/>
      <c r="G44" s="347"/>
      <c r="H44" s="347"/>
      <c r="I44" s="347"/>
    </row>
    <row r="45" spans="1:9" ht="25.5" x14ac:dyDescent="0.35">
      <c r="A45" s="232"/>
      <c r="B45" s="232"/>
      <c r="C45" s="232"/>
      <c r="D45" s="232"/>
      <c r="E45" s="232"/>
      <c r="F45" s="232"/>
      <c r="G45" s="232"/>
      <c r="H45" s="232"/>
      <c r="I45" s="232"/>
    </row>
    <row r="46" spans="1:9" ht="25.5" x14ac:dyDescent="0.35">
      <c r="A46" s="232"/>
      <c r="B46" s="232"/>
      <c r="C46" s="232"/>
      <c r="D46" s="232"/>
      <c r="E46" s="232"/>
      <c r="F46" s="232"/>
      <c r="G46" s="232"/>
      <c r="H46" s="232"/>
      <c r="I46" s="232"/>
    </row>
    <row r="47" spans="1:9" ht="25.5" x14ac:dyDescent="0.35">
      <c r="A47" s="232"/>
      <c r="B47" s="232"/>
      <c r="C47" s="232"/>
      <c r="D47" s="232"/>
      <c r="E47" s="232"/>
      <c r="F47" s="232"/>
      <c r="G47" s="232"/>
      <c r="H47" s="232"/>
      <c r="I47" s="232"/>
    </row>
  </sheetData>
  <mergeCells count="6">
    <mergeCell ref="A44:I44"/>
    <mergeCell ref="A7:I7"/>
    <mergeCell ref="A9:I9"/>
    <mergeCell ref="A14:I14"/>
    <mergeCell ref="A16:I16"/>
    <mergeCell ref="A27:I2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29"/>
  <sheetViews>
    <sheetView topLeftCell="A16" workbookViewId="0">
      <selection activeCell="H24" sqref="H24"/>
    </sheetView>
  </sheetViews>
  <sheetFormatPr defaultRowHeight="15" x14ac:dyDescent="0.25"/>
  <cols>
    <col min="2" max="2" width="54.5703125" customWidth="1"/>
    <col min="3" max="3" width="13.85546875" customWidth="1"/>
    <col min="4" max="4" width="16.42578125" customWidth="1"/>
    <col min="5" max="5" width="14.28515625" customWidth="1"/>
  </cols>
  <sheetData>
    <row r="1" spans="1:5" ht="27" customHeight="1" x14ac:dyDescent="0.3">
      <c r="A1" s="15"/>
      <c r="B1" s="15"/>
      <c r="C1" s="289" t="s">
        <v>200</v>
      </c>
      <c r="D1" s="289"/>
      <c r="E1" s="289"/>
    </row>
    <row r="2" spans="1:5" ht="52.15" customHeight="1" x14ac:dyDescent="0.3">
      <c r="A2" s="15"/>
      <c r="B2" s="15"/>
      <c r="C2" s="290" t="s">
        <v>202</v>
      </c>
      <c r="D2" s="290"/>
      <c r="E2" s="290"/>
    </row>
    <row r="3" spans="1:5" ht="25.9" customHeight="1" x14ac:dyDescent="0.3">
      <c r="A3" s="15"/>
      <c r="B3" s="15"/>
      <c r="C3" s="16"/>
      <c r="D3" s="291" t="s">
        <v>203</v>
      </c>
      <c r="E3" s="291"/>
    </row>
    <row r="4" spans="1:5" ht="18.75" x14ac:dyDescent="0.3">
      <c r="A4" s="15"/>
      <c r="B4" s="15"/>
      <c r="C4" s="15" t="s">
        <v>201</v>
      </c>
      <c r="D4" s="15"/>
      <c r="E4" s="15" t="s">
        <v>204</v>
      </c>
    </row>
    <row r="5" spans="1:5" ht="18.75" x14ac:dyDescent="0.3">
      <c r="A5" s="15"/>
      <c r="B5" s="15"/>
      <c r="C5" s="15"/>
      <c r="D5" s="15"/>
      <c r="E5" s="15"/>
    </row>
    <row r="6" spans="1:5" ht="18.75" x14ac:dyDescent="0.3">
      <c r="A6" s="15"/>
      <c r="B6" s="15"/>
      <c r="C6" s="15"/>
      <c r="D6" s="15"/>
      <c r="E6" s="15"/>
    </row>
    <row r="7" spans="1:5" ht="18.75" x14ac:dyDescent="0.3">
      <c r="A7" s="15"/>
      <c r="B7" s="15"/>
      <c r="C7" s="15"/>
      <c r="D7" s="15"/>
      <c r="E7" s="15"/>
    </row>
    <row r="8" spans="1:5" ht="18.75" x14ac:dyDescent="0.3">
      <c r="A8" s="15"/>
      <c r="B8" s="15"/>
      <c r="C8" s="15"/>
      <c r="D8" s="15"/>
      <c r="E8" s="15"/>
    </row>
    <row r="9" spans="1:5" ht="41.45" customHeight="1" x14ac:dyDescent="0.25">
      <c r="A9" s="294" t="s">
        <v>371</v>
      </c>
      <c r="B9" s="294"/>
      <c r="C9" s="294"/>
      <c r="D9" s="294"/>
      <c r="E9" s="294"/>
    </row>
    <row r="10" spans="1:5" ht="18.75" x14ac:dyDescent="0.25">
      <c r="A10" s="295" t="s">
        <v>105</v>
      </c>
      <c r="B10" s="295"/>
      <c r="C10" s="295"/>
      <c r="D10" s="295"/>
      <c r="E10" s="295"/>
    </row>
    <row r="11" spans="1:5" ht="18.75" x14ac:dyDescent="0.25">
      <c r="A11" s="296" t="s">
        <v>103</v>
      </c>
      <c r="B11" s="296"/>
      <c r="C11" s="296"/>
      <c r="D11" s="296"/>
      <c r="E11" s="296"/>
    </row>
    <row r="12" spans="1:5" ht="19.5" thickBot="1" x14ac:dyDescent="0.35">
      <c r="A12" s="17"/>
      <c r="B12" s="18"/>
      <c r="C12" s="15"/>
      <c r="D12" s="15"/>
      <c r="E12" s="15" t="s">
        <v>108</v>
      </c>
    </row>
    <row r="13" spans="1:5" ht="81.75" customHeight="1" x14ac:dyDescent="0.25">
      <c r="A13" s="40" t="s">
        <v>0</v>
      </c>
      <c r="B13" s="41" t="s">
        <v>1</v>
      </c>
      <c r="C13" s="42" t="s">
        <v>106</v>
      </c>
      <c r="D13" s="43" t="s">
        <v>104</v>
      </c>
      <c r="E13" s="43" t="s">
        <v>107</v>
      </c>
    </row>
    <row r="14" spans="1:5" ht="21.6" customHeight="1" x14ac:dyDescent="0.25">
      <c r="A14" s="19" t="s">
        <v>15</v>
      </c>
      <c r="B14" s="20">
        <v>2</v>
      </c>
      <c r="C14" s="21">
        <v>3</v>
      </c>
      <c r="D14" s="22">
        <v>4</v>
      </c>
      <c r="E14" s="22">
        <v>5</v>
      </c>
    </row>
    <row r="15" spans="1:5" ht="18.75" x14ac:dyDescent="0.25">
      <c r="A15" s="23" t="s">
        <v>173</v>
      </c>
      <c r="B15" s="24" t="s">
        <v>372</v>
      </c>
      <c r="C15" s="25">
        <f>C16+C17+C18+C19</f>
        <v>34849</v>
      </c>
      <c r="D15" s="25">
        <f>D16+D17+D18+D19</f>
        <v>33690</v>
      </c>
      <c r="E15" s="25">
        <f>E16+E17+E18+E19</f>
        <v>34849</v>
      </c>
    </row>
    <row r="16" spans="1:5" ht="18.75" x14ac:dyDescent="0.25">
      <c r="A16" s="26" t="s">
        <v>174</v>
      </c>
      <c r="B16" s="27" t="s">
        <v>28</v>
      </c>
      <c r="C16" s="28">
        <f>[1]обсяги_факт!P5/1000</f>
        <v>0</v>
      </c>
      <c r="D16" s="28">
        <v>0</v>
      </c>
      <c r="E16" s="28">
        <v>0</v>
      </c>
    </row>
    <row r="17" spans="1:6" ht="18.75" x14ac:dyDescent="0.25">
      <c r="A17" s="26" t="s">
        <v>175</v>
      </c>
      <c r="B17" s="27" t="s">
        <v>30</v>
      </c>
      <c r="C17" s="28">
        <v>34849</v>
      </c>
      <c r="D17" s="28">
        <v>33690</v>
      </c>
      <c r="E17" s="28">
        <v>34849</v>
      </c>
    </row>
    <row r="18" spans="1:6" ht="18.75" x14ac:dyDescent="0.25">
      <c r="A18" s="26" t="s">
        <v>176</v>
      </c>
      <c r="B18" s="27" t="s">
        <v>32</v>
      </c>
      <c r="C18" s="28">
        <f>[1]обсяги_факт!P7/1000</f>
        <v>0</v>
      </c>
      <c r="D18" s="28">
        <v>0</v>
      </c>
      <c r="E18" s="28">
        <v>0</v>
      </c>
    </row>
    <row r="19" spans="1:6" ht="18.75" x14ac:dyDescent="0.25">
      <c r="A19" s="26" t="s">
        <v>177</v>
      </c>
      <c r="B19" s="27" t="s">
        <v>34</v>
      </c>
      <c r="C19" s="28">
        <f>[1]обсяги_факт!P8/1000</f>
        <v>0</v>
      </c>
      <c r="D19" s="28">
        <v>0</v>
      </c>
      <c r="E19" s="28">
        <v>0</v>
      </c>
    </row>
    <row r="20" spans="1:6" ht="18.75" x14ac:dyDescent="0.25">
      <c r="A20" s="23" t="s">
        <v>178</v>
      </c>
      <c r="B20" s="24" t="s">
        <v>40</v>
      </c>
      <c r="C20" s="25">
        <v>7298</v>
      </c>
      <c r="D20" s="25">
        <v>8422</v>
      </c>
      <c r="E20" s="25">
        <f>E15*E21</f>
        <v>6621.31</v>
      </c>
    </row>
    <row r="21" spans="1:6" ht="18.75" x14ac:dyDescent="0.25">
      <c r="A21" s="26" t="s">
        <v>199</v>
      </c>
      <c r="B21" s="29" t="s">
        <v>40</v>
      </c>
      <c r="C21" s="30">
        <v>0.21</v>
      </c>
      <c r="D21" s="31">
        <v>0.25</v>
      </c>
      <c r="E21" s="30">
        <v>0.19</v>
      </c>
    </row>
    <row r="22" spans="1:6" ht="56.25" x14ac:dyDescent="0.25">
      <c r="A22" s="23" t="s">
        <v>179</v>
      </c>
      <c r="B22" s="24" t="s">
        <v>35</v>
      </c>
      <c r="C22" s="25">
        <v>27551</v>
      </c>
      <c r="D22" s="25">
        <f>D17-D20</f>
        <v>25268</v>
      </c>
      <c r="E22" s="25">
        <f>E17-E20</f>
        <v>28227.69</v>
      </c>
    </row>
    <row r="23" spans="1:6" ht="18.75" x14ac:dyDescent="0.25">
      <c r="A23" s="32" t="s">
        <v>180</v>
      </c>
      <c r="B23" s="33" t="s">
        <v>37</v>
      </c>
      <c r="C23" s="34">
        <v>25631</v>
      </c>
      <c r="D23" s="34">
        <f>D22-D24</f>
        <v>22768</v>
      </c>
      <c r="E23" s="34">
        <f>E22-E24</f>
        <v>25439.69</v>
      </c>
    </row>
    <row r="24" spans="1:6" ht="19.5" thickBot="1" x14ac:dyDescent="0.3">
      <c r="A24" s="35" t="s">
        <v>181</v>
      </c>
      <c r="B24" s="36" t="s">
        <v>42</v>
      </c>
      <c r="C24" s="37">
        <v>1920</v>
      </c>
      <c r="D24" s="37">
        <v>2500</v>
      </c>
      <c r="E24" s="37">
        <v>2788</v>
      </c>
    </row>
    <row r="25" spans="1:6" ht="18.75" x14ac:dyDescent="0.3">
      <c r="A25" s="15"/>
      <c r="B25" s="15"/>
      <c r="C25" s="15"/>
      <c r="D25" s="15"/>
      <c r="E25" s="15"/>
    </row>
    <row r="26" spans="1:6" ht="63" customHeight="1" x14ac:dyDescent="0.3">
      <c r="A26" s="15"/>
      <c r="B26" s="15"/>
      <c r="C26" s="15"/>
      <c r="D26" s="15"/>
      <c r="E26" s="15"/>
    </row>
    <row r="27" spans="1:6" ht="15.6" customHeight="1" x14ac:dyDescent="0.3">
      <c r="A27" s="15"/>
      <c r="B27" s="293" t="s">
        <v>205</v>
      </c>
      <c r="C27" s="292" t="s">
        <v>206</v>
      </c>
      <c r="D27" s="292"/>
      <c r="E27" s="292"/>
      <c r="F27" s="10"/>
    </row>
    <row r="28" spans="1:6" ht="14.45" customHeight="1" x14ac:dyDescent="0.3">
      <c r="A28" s="15"/>
      <c r="B28" s="293"/>
      <c r="C28" s="38" t="s">
        <v>158</v>
      </c>
      <c r="D28" s="292" t="s">
        <v>159</v>
      </c>
      <c r="E28" s="292"/>
      <c r="F28" s="13"/>
    </row>
    <row r="29" spans="1:6" ht="18.75" x14ac:dyDescent="0.3">
      <c r="A29" s="15"/>
      <c r="B29" s="18"/>
      <c r="C29" s="39" t="s">
        <v>160</v>
      </c>
      <c r="D29" s="15"/>
      <c r="E29" s="15"/>
    </row>
  </sheetData>
  <mergeCells count="9">
    <mergeCell ref="C1:E1"/>
    <mergeCell ref="C2:E2"/>
    <mergeCell ref="D3:E3"/>
    <mergeCell ref="C27:E27"/>
    <mergeCell ref="B27:B28"/>
    <mergeCell ref="D28:E28"/>
    <mergeCell ref="A9:E9"/>
    <mergeCell ref="A10:E10"/>
    <mergeCell ref="A11:E11"/>
  </mergeCells>
  <pageMargins left="0.70866141732283472" right="0.70866141732283472" top="0.74803149606299213" bottom="0.74803149606299213" header="0.31496062992125984" footer="0.31496062992125984"/>
  <pageSetup paperSize="9" scale="8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P20"/>
  <sheetViews>
    <sheetView topLeftCell="B1" workbookViewId="0">
      <selection activeCell="M17" sqref="M17"/>
    </sheetView>
  </sheetViews>
  <sheetFormatPr defaultRowHeight="15" x14ac:dyDescent="0.25"/>
  <cols>
    <col min="3" max="3" width="34.5703125" customWidth="1"/>
    <col min="6" max="6" width="10.28515625" customWidth="1"/>
    <col min="9" max="9" width="10.28515625" customWidth="1"/>
    <col min="12" max="12" width="11.140625" customWidth="1"/>
    <col min="13" max="13" width="10" customWidth="1"/>
    <col min="14" max="14" width="10.140625" customWidth="1"/>
  </cols>
  <sheetData>
    <row r="2" spans="1:16" ht="31.5" x14ac:dyDescent="0.25">
      <c r="A2" s="1"/>
      <c r="B2" s="44"/>
      <c r="C2" s="45" t="s">
        <v>41</v>
      </c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6"/>
    </row>
    <row r="3" spans="1:16" ht="31.5" x14ac:dyDescent="0.25">
      <c r="A3" s="2" t="s">
        <v>0</v>
      </c>
      <c r="B3" s="74" t="s">
        <v>172</v>
      </c>
      <c r="C3" s="75" t="s">
        <v>1</v>
      </c>
      <c r="D3" s="76" t="s">
        <v>2</v>
      </c>
      <c r="E3" s="76" t="s">
        <v>3</v>
      </c>
      <c r="F3" s="76" t="s">
        <v>4</v>
      </c>
      <c r="G3" s="76" t="s">
        <v>5</v>
      </c>
      <c r="H3" s="76" t="s">
        <v>6</v>
      </c>
      <c r="I3" s="76" t="s">
        <v>7</v>
      </c>
      <c r="J3" s="76" t="s">
        <v>8</v>
      </c>
      <c r="K3" s="77" t="s">
        <v>9</v>
      </c>
      <c r="L3" s="77" t="s">
        <v>10</v>
      </c>
      <c r="M3" s="77" t="s">
        <v>11</v>
      </c>
      <c r="N3" s="77" t="s">
        <v>12</v>
      </c>
      <c r="O3" s="77" t="s">
        <v>13</v>
      </c>
      <c r="P3" s="78" t="s">
        <v>39</v>
      </c>
    </row>
    <row r="4" spans="1:16" ht="15.75" x14ac:dyDescent="0.25">
      <c r="A4" s="3" t="s">
        <v>14</v>
      </c>
      <c r="B4" s="79" t="s">
        <v>15</v>
      </c>
      <c r="C4" s="80">
        <v>2</v>
      </c>
      <c r="D4" s="79" t="s">
        <v>16</v>
      </c>
      <c r="E4" s="79" t="s">
        <v>17</v>
      </c>
      <c r="F4" s="79" t="s">
        <v>18</v>
      </c>
      <c r="G4" s="79" t="s">
        <v>19</v>
      </c>
      <c r="H4" s="79" t="s">
        <v>20</v>
      </c>
      <c r="I4" s="79" t="s">
        <v>21</v>
      </c>
      <c r="J4" s="79" t="s">
        <v>22</v>
      </c>
      <c r="K4" s="79" t="s">
        <v>23</v>
      </c>
      <c r="L4" s="79" t="s">
        <v>24</v>
      </c>
      <c r="M4" s="79" t="s">
        <v>25</v>
      </c>
      <c r="N4" s="79" t="s">
        <v>26</v>
      </c>
      <c r="O4" s="79" t="s">
        <v>88</v>
      </c>
      <c r="P4" s="81" t="s">
        <v>89</v>
      </c>
    </row>
    <row r="5" spans="1:16" ht="15.75" x14ac:dyDescent="0.25">
      <c r="A5" s="4">
        <v>1</v>
      </c>
      <c r="B5" s="47" t="s">
        <v>173</v>
      </c>
      <c r="C5" s="48" t="s">
        <v>372</v>
      </c>
      <c r="D5" s="49">
        <f>D6+D7+D8+D9</f>
        <v>2123</v>
      </c>
      <c r="E5" s="49">
        <f t="shared" ref="E5:O5" si="0">E6+E7+E8+E9</f>
        <v>2051</v>
      </c>
      <c r="F5" s="49">
        <f t="shared" si="0"/>
        <v>2029</v>
      </c>
      <c r="G5" s="49">
        <f t="shared" si="0"/>
        <v>2896</v>
      </c>
      <c r="H5" s="49">
        <f t="shared" si="0"/>
        <v>3117</v>
      </c>
      <c r="I5" s="49">
        <f t="shared" si="0"/>
        <v>4017</v>
      </c>
      <c r="J5" s="49">
        <f t="shared" si="0"/>
        <v>2921</v>
      </c>
      <c r="K5" s="49">
        <f t="shared" si="0"/>
        <v>3317</v>
      </c>
      <c r="L5" s="49">
        <f t="shared" si="0"/>
        <v>2926</v>
      </c>
      <c r="M5" s="49">
        <f t="shared" si="0"/>
        <v>3188</v>
      </c>
      <c r="N5" s="49">
        <f t="shared" si="0"/>
        <v>3269</v>
      </c>
      <c r="O5" s="49">
        <f t="shared" si="0"/>
        <v>2995</v>
      </c>
      <c r="P5" s="49">
        <f>SUM(D5:O5)</f>
        <v>34849</v>
      </c>
    </row>
    <row r="6" spans="1:16" ht="15.75" x14ac:dyDescent="0.25">
      <c r="A6" s="5" t="s">
        <v>27</v>
      </c>
      <c r="B6" s="65" t="s">
        <v>174</v>
      </c>
      <c r="C6" s="50" t="s">
        <v>28</v>
      </c>
      <c r="D6" s="51">
        <v>0</v>
      </c>
      <c r="E6" s="51">
        <v>0</v>
      </c>
      <c r="F6" s="51">
        <v>0</v>
      </c>
      <c r="G6" s="51">
        <v>0</v>
      </c>
      <c r="H6" s="51">
        <v>0</v>
      </c>
      <c r="I6" s="51">
        <v>0</v>
      </c>
      <c r="J6" s="51">
        <v>0</v>
      </c>
      <c r="K6" s="51">
        <v>0</v>
      </c>
      <c r="L6" s="51">
        <v>0</v>
      </c>
      <c r="M6" s="51">
        <v>0</v>
      </c>
      <c r="N6" s="51">
        <v>0</v>
      </c>
      <c r="O6" s="51">
        <v>0</v>
      </c>
      <c r="P6" s="49">
        <f t="shared" ref="P6:P14" si="1">SUM(D6:O6)</f>
        <v>0</v>
      </c>
    </row>
    <row r="7" spans="1:16" ht="15.75" x14ac:dyDescent="0.25">
      <c r="A7" s="5" t="s">
        <v>29</v>
      </c>
      <c r="B7" s="65" t="s">
        <v>181</v>
      </c>
      <c r="C7" s="50" t="s">
        <v>30</v>
      </c>
      <c r="D7" s="51">
        <v>2123</v>
      </c>
      <c r="E7" s="51">
        <v>2051</v>
      </c>
      <c r="F7" s="51">
        <v>2029</v>
      </c>
      <c r="G7" s="51">
        <v>2896</v>
      </c>
      <c r="H7" s="51">
        <v>3117</v>
      </c>
      <c r="I7" s="51">
        <v>4017</v>
      </c>
      <c r="J7" s="51">
        <v>2921</v>
      </c>
      <c r="K7" s="51">
        <v>3317</v>
      </c>
      <c r="L7" s="51">
        <v>2926</v>
      </c>
      <c r="M7" s="51">
        <v>3188</v>
      </c>
      <c r="N7" s="51">
        <v>3269</v>
      </c>
      <c r="O7" s="51">
        <v>2995</v>
      </c>
      <c r="P7" s="49">
        <f t="shared" si="1"/>
        <v>34849</v>
      </c>
    </row>
    <row r="8" spans="1:16" ht="15.75" x14ac:dyDescent="0.25">
      <c r="A8" s="5" t="s">
        <v>31</v>
      </c>
      <c r="B8" s="65" t="s">
        <v>182</v>
      </c>
      <c r="C8" s="50" t="s">
        <v>32</v>
      </c>
      <c r="D8" s="51">
        <v>0</v>
      </c>
      <c r="E8" s="51">
        <v>0</v>
      </c>
      <c r="F8" s="51">
        <v>0</v>
      </c>
      <c r="G8" s="51">
        <v>0</v>
      </c>
      <c r="H8" s="51">
        <v>0</v>
      </c>
      <c r="I8" s="51">
        <v>0</v>
      </c>
      <c r="J8" s="51">
        <v>0</v>
      </c>
      <c r="K8" s="51">
        <v>0</v>
      </c>
      <c r="L8" s="51">
        <v>0</v>
      </c>
      <c r="M8" s="51">
        <v>0</v>
      </c>
      <c r="N8" s="51">
        <v>0</v>
      </c>
      <c r="O8" s="51">
        <v>0</v>
      </c>
      <c r="P8" s="49">
        <f t="shared" si="1"/>
        <v>0</v>
      </c>
    </row>
    <row r="9" spans="1:16" ht="15.75" x14ac:dyDescent="0.25">
      <c r="A9" s="5" t="s">
        <v>33</v>
      </c>
      <c r="B9" s="65" t="s">
        <v>183</v>
      </c>
      <c r="C9" s="50" t="s">
        <v>34</v>
      </c>
      <c r="D9" s="51">
        <v>0</v>
      </c>
      <c r="E9" s="51">
        <v>0</v>
      </c>
      <c r="F9" s="51">
        <v>0</v>
      </c>
      <c r="G9" s="51">
        <v>0</v>
      </c>
      <c r="H9" s="51">
        <v>0</v>
      </c>
      <c r="I9" s="51">
        <v>0</v>
      </c>
      <c r="J9" s="51">
        <v>0</v>
      </c>
      <c r="K9" s="51">
        <v>0</v>
      </c>
      <c r="L9" s="51">
        <v>0</v>
      </c>
      <c r="M9" s="51">
        <v>0</v>
      </c>
      <c r="N9" s="51">
        <v>0</v>
      </c>
      <c r="O9" s="51">
        <v>0</v>
      </c>
      <c r="P9" s="49">
        <f t="shared" si="1"/>
        <v>0</v>
      </c>
    </row>
    <row r="10" spans="1:16" ht="15.75" x14ac:dyDescent="0.25">
      <c r="A10" s="4">
        <v>8</v>
      </c>
      <c r="B10" s="47" t="s">
        <v>178</v>
      </c>
      <c r="C10" s="48" t="s">
        <v>40</v>
      </c>
      <c r="D10" s="49">
        <v>403</v>
      </c>
      <c r="E10" s="49">
        <v>390</v>
      </c>
      <c r="F10" s="49">
        <v>406</v>
      </c>
      <c r="G10" s="49">
        <v>405</v>
      </c>
      <c r="H10" s="49">
        <v>405</v>
      </c>
      <c r="I10" s="49">
        <v>402</v>
      </c>
      <c r="J10" s="49">
        <v>409</v>
      </c>
      <c r="K10" s="49">
        <v>896</v>
      </c>
      <c r="L10" s="49">
        <v>907</v>
      </c>
      <c r="M10" s="49">
        <v>893</v>
      </c>
      <c r="N10" s="49">
        <v>883</v>
      </c>
      <c r="O10" s="49">
        <v>899</v>
      </c>
      <c r="P10" s="49">
        <f t="shared" si="1"/>
        <v>7298</v>
      </c>
    </row>
    <row r="11" spans="1:16" ht="15.75" x14ac:dyDescent="0.25">
      <c r="A11" s="6"/>
      <c r="B11" s="65" t="s">
        <v>139</v>
      </c>
      <c r="C11" s="52" t="s">
        <v>40</v>
      </c>
      <c r="D11" s="53">
        <f t="shared" ref="D11:P11" si="2">D10/D5</f>
        <v>0.18982571832312764</v>
      </c>
      <c r="E11" s="53">
        <f t="shared" si="2"/>
        <v>0.19015114578254511</v>
      </c>
      <c r="F11" s="53">
        <f t="shared" si="2"/>
        <v>0.20009857072449483</v>
      </c>
      <c r="G11" s="53">
        <f t="shared" si="2"/>
        <v>0.13984806629834254</v>
      </c>
      <c r="H11" s="53">
        <f t="shared" si="2"/>
        <v>0.12993262752646775</v>
      </c>
      <c r="I11" s="53">
        <f t="shared" si="2"/>
        <v>0.10007468259895444</v>
      </c>
      <c r="J11" s="53">
        <f t="shared" si="2"/>
        <v>0.14002054091064703</v>
      </c>
      <c r="K11" s="53">
        <f t="shared" si="2"/>
        <v>0.2701236056677721</v>
      </c>
      <c r="L11" s="53">
        <f t="shared" si="2"/>
        <v>0.30997949419002052</v>
      </c>
      <c r="M11" s="53">
        <f t="shared" si="2"/>
        <v>0.28011292346298622</v>
      </c>
      <c r="N11" s="53">
        <f t="shared" si="2"/>
        <v>0.27011318446007954</v>
      </c>
      <c r="O11" s="53">
        <f t="shared" si="2"/>
        <v>0.3001669449081803</v>
      </c>
      <c r="P11" s="54">
        <f t="shared" si="2"/>
        <v>0.20941777382421303</v>
      </c>
    </row>
    <row r="12" spans="1:16" ht="47.25" x14ac:dyDescent="0.25">
      <c r="A12" s="4">
        <v>9</v>
      </c>
      <c r="B12" s="55" t="s">
        <v>179</v>
      </c>
      <c r="C12" s="48" t="s">
        <v>35</v>
      </c>
      <c r="D12" s="49">
        <f>D13+D14</f>
        <v>1720</v>
      </c>
      <c r="E12" s="49">
        <f t="shared" ref="E12:P12" si="3">E13+E14</f>
        <v>1661</v>
      </c>
      <c r="F12" s="49">
        <f t="shared" si="3"/>
        <v>1623</v>
      </c>
      <c r="G12" s="49">
        <f t="shared" si="3"/>
        <v>2491</v>
      </c>
      <c r="H12" s="49">
        <f t="shared" si="3"/>
        <v>2712</v>
      </c>
      <c r="I12" s="49">
        <f t="shared" si="3"/>
        <v>3615</v>
      </c>
      <c r="J12" s="49">
        <f t="shared" si="3"/>
        <v>2512</v>
      </c>
      <c r="K12" s="49">
        <f t="shared" si="3"/>
        <v>2421</v>
      </c>
      <c r="L12" s="49">
        <f t="shared" si="3"/>
        <v>2019</v>
      </c>
      <c r="M12" s="49">
        <f t="shared" si="3"/>
        <v>2295</v>
      </c>
      <c r="N12" s="49">
        <f t="shared" si="3"/>
        <v>2386</v>
      </c>
      <c r="O12" s="49">
        <f t="shared" si="3"/>
        <v>2096</v>
      </c>
      <c r="P12" s="49">
        <f t="shared" si="3"/>
        <v>27551</v>
      </c>
    </row>
    <row r="13" spans="1:16" ht="15.75" x14ac:dyDescent="0.25">
      <c r="A13" s="12" t="s">
        <v>36</v>
      </c>
      <c r="B13" s="66" t="s">
        <v>180</v>
      </c>
      <c r="C13" s="56" t="s">
        <v>37</v>
      </c>
      <c r="D13" s="57">
        <v>1560</v>
      </c>
      <c r="E13" s="57">
        <v>1501</v>
      </c>
      <c r="F13" s="57">
        <v>1463</v>
      </c>
      <c r="G13" s="57">
        <v>2331</v>
      </c>
      <c r="H13" s="57">
        <v>2552</v>
      </c>
      <c r="I13" s="57">
        <v>3455</v>
      </c>
      <c r="J13" s="57">
        <v>2352</v>
      </c>
      <c r="K13" s="57">
        <v>2261</v>
      </c>
      <c r="L13" s="57">
        <v>1859</v>
      </c>
      <c r="M13" s="57">
        <v>2135</v>
      </c>
      <c r="N13" s="57">
        <v>2226</v>
      </c>
      <c r="O13" s="57">
        <v>1936</v>
      </c>
      <c r="P13" s="58">
        <f t="shared" si="1"/>
        <v>25631</v>
      </c>
    </row>
    <row r="14" spans="1:16" ht="15.75" x14ac:dyDescent="0.25">
      <c r="A14" s="12" t="s">
        <v>38</v>
      </c>
      <c r="B14" s="66" t="s">
        <v>181</v>
      </c>
      <c r="C14" s="59" t="s">
        <v>168</v>
      </c>
      <c r="D14" s="60">
        <v>160</v>
      </c>
      <c r="E14" s="60">
        <v>160</v>
      </c>
      <c r="F14" s="60">
        <v>160</v>
      </c>
      <c r="G14" s="60">
        <v>160</v>
      </c>
      <c r="H14" s="60">
        <v>160</v>
      </c>
      <c r="I14" s="60">
        <v>160</v>
      </c>
      <c r="J14" s="60">
        <v>160</v>
      </c>
      <c r="K14" s="60">
        <v>160</v>
      </c>
      <c r="L14" s="60">
        <v>160</v>
      </c>
      <c r="M14" s="60">
        <v>160</v>
      </c>
      <c r="N14" s="60">
        <v>160</v>
      </c>
      <c r="O14" s="60">
        <v>160</v>
      </c>
      <c r="P14" s="61">
        <f t="shared" si="1"/>
        <v>1920</v>
      </c>
    </row>
    <row r="15" spans="1:16" ht="15.75" x14ac:dyDescent="0.25">
      <c r="B15" s="62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</row>
    <row r="16" spans="1:16" ht="53.45" customHeight="1" x14ac:dyDescent="0.25">
      <c r="B16" s="62"/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 s="62"/>
    </row>
    <row r="17" spans="2:16" ht="15.6" customHeight="1" x14ac:dyDescent="0.25">
      <c r="B17" s="62"/>
      <c r="C17" s="297" t="s">
        <v>205</v>
      </c>
      <c r="D17" s="298" t="s">
        <v>206</v>
      </c>
      <c r="E17" s="298"/>
      <c r="F17" s="298"/>
      <c r="G17" s="298"/>
      <c r="H17" s="298"/>
      <c r="I17" s="62"/>
      <c r="J17" s="62"/>
      <c r="K17" s="62"/>
      <c r="L17" s="62"/>
      <c r="M17" s="62"/>
      <c r="N17" s="62"/>
      <c r="O17" s="62"/>
      <c r="P17" s="62"/>
    </row>
    <row r="18" spans="2:16" ht="14.45" customHeight="1" x14ac:dyDescent="0.25">
      <c r="B18" s="62"/>
      <c r="C18" s="297"/>
      <c r="D18" s="63" t="s">
        <v>158</v>
      </c>
      <c r="E18" s="298" t="s">
        <v>159</v>
      </c>
      <c r="F18" s="298"/>
      <c r="G18" s="298"/>
      <c r="H18" s="298"/>
      <c r="I18" s="62"/>
      <c r="J18" s="62"/>
      <c r="K18" s="62"/>
      <c r="L18" s="62"/>
      <c r="M18" s="62"/>
      <c r="N18" s="62"/>
      <c r="O18" s="62"/>
      <c r="P18" s="62"/>
    </row>
    <row r="19" spans="2:16" ht="15.75" x14ac:dyDescent="0.25">
      <c r="B19" s="62"/>
      <c r="C19" s="64"/>
      <c r="D19" s="14" t="s">
        <v>160</v>
      </c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</row>
    <row r="20" spans="2:16" ht="15.75" x14ac:dyDescent="0.25"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</row>
  </sheetData>
  <mergeCells count="3">
    <mergeCell ref="C17:C18"/>
    <mergeCell ref="D17:H17"/>
    <mergeCell ref="E18:H18"/>
  </mergeCells>
  <pageMargins left="0.31496062992125984" right="0.31496062992125984" top="0.74803149606299213" bottom="0.74803149606299213" header="0.31496062992125984" footer="0.31496062992125984"/>
  <pageSetup paperSize="9" scale="7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84"/>
  <sheetViews>
    <sheetView workbookViewId="0">
      <selection activeCell="E4" sqref="E4:F4"/>
    </sheetView>
  </sheetViews>
  <sheetFormatPr defaultRowHeight="15" x14ac:dyDescent="0.25"/>
  <cols>
    <col min="2" max="2" width="49" customWidth="1"/>
    <col min="3" max="3" width="14.7109375" customWidth="1"/>
    <col min="4" max="4" width="11.7109375" customWidth="1"/>
    <col min="5" max="5" width="13.7109375" customWidth="1"/>
    <col min="6" max="6" width="13.42578125" customWidth="1"/>
    <col min="8" max="8" width="9.42578125" bestFit="1" customWidth="1"/>
  </cols>
  <sheetData>
    <row r="1" spans="1:6" ht="15.75" x14ac:dyDescent="0.25">
      <c r="A1" s="299" t="s">
        <v>333</v>
      </c>
      <c r="B1" s="299"/>
      <c r="C1" s="299"/>
      <c r="D1" s="299"/>
      <c r="E1" s="299"/>
      <c r="F1" s="299"/>
    </row>
    <row r="2" spans="1:6" ht="15.75" x14ac:dyDescent="0.25">
      <c r="A2" s="300" t="s">
        <v>167</v>
      </c>
      <c r="B2" s="300"/>
      <c r="C2" s="300"/>
      <c r="D2" s="300"/>
      <c r="E2" s="300"/>
      <c r="F2" s="300"/>
    </row>
    <row r="3" spans="1:6" ht="16.5" thickBot="1" x14ac:dyDescent="0.3">
      <c r="A3" s="146"/>
      <c r="B3" s="146"/>
      <c r="C3" s="146"/>
      <c r="D3" s="147"/>
      <c r="E3" s="146"/>
      <c r="F3" s="148"/>
    </row>
    <row r="4" spans="1:6" ht="45" customHeight="1" x14ac:dyDescent="0.25">
      <c r="A4" s="301" t="s">
        <v>120</v>
      </c>
      <c r="B4" s="303" t="s">
        <v>121</v>
      </c>
      <c r="C4" s="301" t="s">
        <v>111</v>
      </c>
      <c r="D4" s="305"/>
      <c r="E4" s="306" t="s">
        <v>115</v>
      </c>
      <c r="F4" s="305"/>
    </row>
    <row r="5" spans="1:6" ht="25.9" customHeight="1" x14ac:dyDescent="0.25">
      <c r="A5" s="302"/>
      <c r="B5" s="304"/>
      <c r="C5" s="178" t="s">
        <v>171</v>
      </c>
      <c r="D5" s="179" t="s">
        <v>380</v>
      </c>
      <c r="E5" s="180" t="s">
        <v>171</v>
      </c>
      <c r="F5" s="179" t="s">
        <v>380</v>
      </c>
    </row>
    <row r="6" spans="1:6" ht="15.75" x14ac:dyDescent="0.25">
      <c r="A6" s="159">
        <v>1</v>
      </c>
      <c r="B6" s="167">
        <v>2</v>
      </c>
      <c r="C6" s="159">
        <v>3</v>
      </c>
      <c r="D6" s="158">
        <v>4</v>
      </c>
      <c r="E6" s="174">
        <v>5</v>
      </c>
      <c r="F6" s="158">
        <v>6</v>
      </c>
    </row>
    <row r="7" spans="1:6" ht="15.75" x14ac:dyDescent="0.25">
      <c r="A7" s="160" t="s">
        <v>230</v>
      </c>
      <c r="B7" s="168" t="s">
        <v>122</v>
      </c>
      <c r="C7" s="176">
        <f>C8+C12+C13+C14+C17+C22</f>
        <v>329250</v>
      </c>
      <c r="D7" s="164">
        <f t="shared" ref="D7:F7" si="0">D8+D12+D13+D14+D17+D22</f>
        <v>9.7728999999999999</v>
      </c>
      <c r="E7" s="175">
        <f t="shared" si="0"/>
        <v>586565.02150000003</v>
      </c>
      <c r="F7" s="164">
        <f t="shared" si="0"/>
        <v>20.77</v>
      </c>
    </row>
    <row r="8" spans="1:6" ht="15.75" x14ac:dyDescent="0.25">
      <c r="A8" s="161" t="s">
        <v>227</v>
      </c>
      <c r="B8" s="168" t="s">
        <v>123</v>
      </c>
      <c r="C8" s="176">
        <f>C9+C10+C11</f>
        <v>276900</v>
      </c>
      <c r="D8" s="164">
        <f t="shared" ref="D8:F8" si="1">D9+D10+D11</f>
        <v>8.2190999999999992</v>
      </c>
      <c r="E8" s="175">
        <f t="shared" si="1"/>
        <v>405780.8</v>
      </c>
      <c r="F8" s="164">
        <f t="shared" si="1"/>
        <v>14.370000000000001</v>
      </c>
    </row>
    <row r="9" spans="1:6" ht="15.75" x14ac:dyDescent="0.25">
      <c r="A9" s="162" t="s">
        <v>278</v>
      </c>
      <c r="B9" s="125" t="s">
        <v>94</v>
      </c>
      <c r="C9" s="177">
        <v>229900</v>
      </c>
      <c r="D9" s="163">
        <f>ROUND(C9/$C$70,4)</f>
        <v>6.8239999999999998</v>
      </c>
      <c r="E9" s="272">
        <f>Електроенергія!E7</f>
        <v>338000</v>
      </c>
      <c r="F9" s="163">
        <f>ROUND(E9/$E$70,2)</f>
        <v>11.97</v>
      </c>
    </row>
    <row r="10" spans="1:6" ht="15.75" x14ac:dyDescent="0.25">
      <c r="A10" s="162" t="s">
        <v>279</v>
      </c>
      <c r="B10" s="125" t="s">
        <v>95</v>
      </c>
      <c r="C10" s="177">
        <v>7000</v>
      </c>
      <c r="D10" s="163">
        <f>ROUND(C10/$C$70,4)</f>
        <v>0.20780000000000001</v>
      </c>
      <c r="E10" s="272">
        <f>'Прямі витр.'!D9</f>
        <v>10780.8</v>
      </c>
      <c r="F10" s="163">
        <f>ROUND(E10/$E$70,2)</f>
        <v>0.38</v>
      </c>
    </row>
    <row r="11" spans="1:6" ht="31.5" x14ac:dyDescent="0.25">
      <c r="A11" s="162" t="s">
        <v>280</v>
      </c>
      <c r="B11" s="125" t="s">
        <v>96</v>
      </c>
      <c r="C11" s="177">
        <v>40000</v>
      </c>
      <c r="D11" s="163">
        <f>ROUND(C11/$C$70,4)</f>
        <v>1.1873</v>
      </c>
      <c r="E11" s="272">
        <f>'Прямі витр.'!D10</f>
        <v>57000</v>
      </c>
      <c r="F11" s="163">
        <f>ROUND(E11/$E$70,2)</f>
        <v>2.02</v>
      </c>
    </row>
    <row r="12" spans="1:6" ht="15.75" x14ac:dyDescent="0.25">
      <c r="A12" s="161" t="s">
        <v>228</v>
      </c>
      <c r="B12" s="124" t="s">
        <v>166</v>
      </c>
      <c r="C12" s="176">
        <v>20000</v>
      </c>
      <c r="D12" s="164">
        <f>ROUND(C12/$C$70,4)</f>
        <v>0.59360000000000002</v>
      </c>
      <c r="E12" s="175">
        <f>'Прямі витр.'!D11</f>
        <v>20000</v>
      </c>
      <c r="F12" s="164">
        <f>ROUND(E12/$E$70,2)</f>
        <v>0.71</v>
      </c>
    </row>
    <row r="13" spans="1:6" ht="15.75" x14ac:dyDescent="0.25">
      <c r="A13" s="161" t="s">
        <v>235</v>
      </c>
      <c r="B13" s="168" t="s">
        <v>124</v>
      </c>
      <c r="C13" s="176">
        <v>0</v>
      </c>
      <c r="D13" s="164">
        <f>ROUND(C13/$C$70,4)</f>
        <v>0</v>
      </c>
      <c r="E13" s="175">
        <f>'Прямі витр.'!D12</f>
        <v>91440</v>
      </c>
      <c r="F13" s="164">
        <f>ROUND(E13/$E$70,2)</f>
        <v>3.24</v>
      </c>
    </row>
    <row r="14" spans="1:6" ht="15.75" x14ac:dyDescent="0.25">
      <c r="A14" s="161" t="s">
        <v>236</v>
      </c>
      <c r="B14" s="115" t="s">
        <v>100</v>
      </c>
      <c r="C14" s="176">
        <f>C15+C16</f>
        <v>32350</v>
      </c>
      <c r="D14" s="164">
        <f t="shared" ref="D14:F14" si="2">D15+D16</f>
        <v>0.96019999999999994</v>
      </c>
      <c r="E14" s="175">
        <f t="shared" si="2"/>
        <v>38630</v>
      </c>
      <c r="F14" s="164">
        <f t="shared" si="2"/>
        <v>1.36</v>
      </c>
    </row>
    <row r="15" spans="1:6" ht="20.45" customHeight="1" x14ac:dyDescent="0.25">
      <c r="A15" s="162" t="s">
        <v>281</v>
      </c>
      <c r="B15" s="117" t="s">
        <v>101</v>
      </c>
      <c r="C15" s="177">
        <v>1950</v>
      </c>
      <c r="D15" s="163">
        <f>ROUND(C15/$C$70,4)</f>
        <v>5.79E-2</v>
      </c>
      <c r="E15" s="272">
        <f>'Прямі витр.'!D14</f>
        <v>2660</v>
      </c>
      <c r="F15" s="163">
        <f>ROUND(E15/$E$70,2)</f>
        <v>0.09</v>
      </c>
    </row>
    <row r="16" spans="1:6" ht="15.75" x14ac:dyDescent="0.25">
      <c r="A16" s="162" t="s">
        <v>282</v>
      </c>
      <c r="B16" s="117" t="s">
        <v>102</v>
      </c>
      <c r="C16" s="177">
        <v>30400</v>
      </c>
      <c r="D16" s="163">
        <f>ROUND(C16/$C$70,4)</f>
        <v>0.90229999999999999</v>
      </c>
      <c r="E16" s="272">
        <f>'Прямі витр.'!D15</f>
        <v>35970</v>
      </c>
      <c r="F16" s="163">
        <f>ROUND(E16/$E$70,2)</f>
        <v>1.27</v>
      </c>
    </row>
    <row r="17" spans="1:6" ht="15.75" x14ac:dyDescent="0.25">
      <c r="A17" s="161" t="s">
        <v>237</v>
      </c>
      <c r="B17" s="168" t="s">
        <v>125</v>
      </c>
      <c r="C17" s="176">
        <f>C18+C19+C20+C21</f>
        <v>0</v>
      </c>
      <c r="D17" s="164">
        <f t="shared" ref="D17:F17" si="3">D18+D19+D20+D21</f>
        <v>0</v>
      </c>
      <c r="E17" s="175">
        <f t="shared" si="3"/>
        <v>30714.2215</v>
      </c>
      <c r="F17" s="164">
        <f t="shared" si="3"/>
        <v>1.0899999999999999</v>
      </c>
    </row>
    <row r="18" spans="1:6" ht="15.75" x14ac:dyDescent="0.25">
      <c r="A18" s="162" t="s">
        <v>284</v>
      </c>
      <c r="B18" s="169" t="s">
        <v>126</v>
      </c>
      <c r="C18" s="177">
        <v>0</v>
      </c>
      <c r="D18" s="163">
        <f>ROUND(C18/$C$70,4)</f>
        <v>0</v>
      </c>
      <c r="E18" s="272">
        <f>'Прямі витр.'!D17</f>
        <v>20116.8</v>
      </c>
      <c r="F18" s="163">
        <f>ROUND(E18/$E$70,2)</f>
        <v>0.71</v>
      </c>
    </row>
    <row r="19" spans="1:6" ht="15.75" x14ac:dyDescent="0.25">
      <c r="A19" s="162" t="s">
        <v>283</v>
      </c>
      <c r="B19" s="169" t="s">
        <v>127</v>
      </c>
      <c r="C19" s="177">
        <v>0</v>
      </c>
      <c r="D19" s="163">
        <f>ROUND(C19/$C$70,4)</f>
        <v>0</v>
      </c>
      <c r="E19" s="272">
        <f>'Прямі витр.'!D18</f>
        <v>10597.421499999999</v>
      </c>
      <c r="F19" s="163">
        <f>ROUND(E19/$E$70,2)</f>
        <v>0.38</v>
      </c>
    </row>
    <row r="20" spans="1:6" ht="15.75" x14ac:dyDescent="0.25">
      <c r="A20" s="165" t="s">
        <v>287</v>
      </c>
      <c r="B20" s="170" t="s">
        <v>128</v>
      </c>
      <c r="C20" s="273">
        <v>0</v>
      </c>
      <c r="D20" s="163">
        <f>ROUND(C20/$C$70,4)</f>
        <v>0</v>
      </c>
      <c r="E20" s="274">
        <v>0</v>
      </c>
      <c r="F20" s="163">
        <f>ROUND(E20/$E$70,2)</f>
        <v>0</v>
      </c>
    </row>
    <row r="21" spans="1:6" ht="15.75" x14ac:dyDescent="0.25">
      <c r="A21" s="162" t="s">
        <v>288</v>
      </c>
      <c r="B21" s="169" t="s">
        <v>129</v>
      </c>
      <c r="C21" s="177">
        <v>0</v>
      </c>
      <c r="D21" s="163">
        <f>ROUND(C21/$C$70,4)</f>
        <v>0</v>
      </c>
      <c r="E21" s="272">
        <v>0</v>
      </c>
      <c r="F21" s="163">
        <f>ROUND(E21/$E$70,2)</f>
        <v>0</v>
      </c>
    </row>
    <row r="22" spans="1:6" ht="15.75" x14ac:dyDescent="0.25">
      <c r="A22" s="161" t="s">
        <v>238</v>
      </c>
      <c r="B22" s="168" t="s">
        <v>130</v>
      </c>
      <c r="C22" s="176">
        <f>SUM(C23:C34)</f>
        <v>0</v>
      </c>
      <c r="D22" s="164">
        <f>SUM(D23:D34)</f>
        <v>0</v>
      </c>
      <c r="E22" s="175">
        <f>SUM(E23:E34)</f>
        <v>0</v>
      </c>
      <c r="F22" s="164">
        <f>SUM(F23:F34)</f>
        <v>0</v>
      </c>
    </row>
    <row r="23" spans="1:6" ht="15.75" x14ac:dyDescent="0.25">
      <c r="A23" s="162" t="s">
        <v>291</v>
      </c>
      <c r="B23" s="169" t="s">
        <v>131</v>
      </c>
      <c r="C23" s="177">
        <v>0</v>
      </c>
      <c r="D23" s="163">
        <f t="shared" ref="D23:D34" si="4">ROUND(C23/$C$70,4)</f>
        <v>0</v>
      </c>
      <c r="E23" s="272">
        <f>[1]загальновироб!I10</f>
        <v>0</v>
      </c>
      <c r="F23" s="163">
        <f t="shared" ref="F23:F34" si="5">ROUND(E23/$E$70,2)</f>
        <v>0</v>
      </c>
    </row>
    <row r="24" spans="1:6" ht="15.75" x14ac:dyDescent="0.25">
      <c r="A24" s="162" t="s">
        <v>290</v>
      </c>
      <c r="B24" s="169" t="s">
        <v>126</v>
      </c>
      <c r="C24" s="177">
        <v>0</v>
      </c>
      <c r="D24" s="163">
        <f t="shared" si="4"/>
        <v>0</v>
      </c>
      <c r="E24" s="272">
        <f>[1]загальновироб!I11</f>
        <v>0</v>
      </c>
      <c r="F24" s="163">
        <f t="shared" si="5"/>
        <v>0</v>
      </c>
    </row>
    <row r="25" spans="1:6" ht="15.75" x14ac:dyDescent="0.25">
      <c r="A25" s="162" t="s">
        <v>292</v>
      </c>
      <c r="B25" s="169" t="s">
        <v>127</v>
      </c>
      <c r="C25" s="177">
        <v>0</v>
      </c>
      <c r="D25" s="163">
        <f t="shared" si="4"/>
        <v>0</v>
      </c>
      <c r="E25" s="272">
        <v>0</v>
      </c>
      <c r="F25" s="163">
        <f t="shared" si="5"/>
        <v>0</v>
      </c>
    </row>
    <row r="26" spans="1:6" ht="15.75" x14ac:dyDescent="0.25">
      <c r="A26" s="162" t="s">
        <v>293</v>
      </c>
      <c r="B26" s="169" t="s">
        <v>59</v>
      </c>
      <c r="C26" s="177">
        <v>0</v>
      </c>
      <c r="D26" s="163">
        <f t="shared" si="4"/>
        <v>0</v>
      </c>
      <c r="E26" s="275">
        <f>[1]загальновироб!I15</f>
        <v>0</v>
      </c>
      <c r="F26" s="163">
        <f t="shared" si="5"/>
        <v>0</v>
      </c>
    </row>
    <row r="27" spans="1:6" ht="15.75" x14ac:dyDescent="0.25">
      <c r="A27" s="162" t="s">
        <v>294</v>
      </c>
      <c r="B27" s="169" t="s">
        <v>132</v>
      </c>
      <c r="C27" s="177">
        <v>0</v>
      </c>
      <c r="D27" s="163">
        <f t="shared" si="4"/>
        <v>0</v>
      </c>
      <c r="E27" s="275">
        <v>0</v>
      </c>
      <c r="F27" s="163">
        <f t="shared" si="5"/>
        <v>0</v>
      </c>
    </row>
    <row r="28" spans="1:6" ht="15.75" x14ac:dyDescent="0.25">
      <c r="A28" s="162" t="s">
        <v>295</v>
      </c>
      <c r="B28" s="171" t="s">
        <v>133</v>
      </c>
      <c r="C28" s="177">
        <v>0</v>
      </c>
      <c r="D28" s="163">
        <f t="shared" si="4"/>
        <v>0</v>
      </c>
      <c r="E28" s="275">
        <v>0</v>
      </c>
      <c r="F28" s="163">
        <f t="shared" si="5"/>
        <v>0</v>
      </c>
    </row>
    <row r="29" spans="1:6" ht="15.75" x14ac:dyDescent="0.25">
      <c r="A29" s="162" t="s">
        <v>296</v>
      </c>
      <c r="B29" s="117" t="s">
        <v>134</v>
      </c>
      <c r="C29" s="177">
        <v>0</v>
      </c>
      <c r="D29" s="163">
        <f t="shared" si="4"/>
        <v>0</v>
      </c>
      <c r="E29" s="275">
        <v>0</v>
      </c>
      <c r="F29" s="163">
        <f t="shared" si="5"/>
        <v>0</v>
      </c>
    </row>
    <row r="30" spans="1:6" ht="15.75" x14ac:dyDescent="0.25">
      <c r="A30" s="162" t="s">
        <v>297</v>
      </c>
      <c r="B30" s="117" t="s">
        <v>135</v>
      </c>
      <c r="C30" s="177">
        <v>0</v>
      </c>
      <c r="D30" s="163">
        <f t="shared" si="4"/>
        <v>0</v>
      </c>
      <c r="E30" s="275">
        <v>0</v>
      </c>
      <c r="F30" s="163">
        <f t="shared" si="5"/>
        <v>0</v>
      </c>
    </row>
    <row r="31" spans="1:6" ht="15.75" x14ac:dyDescent="0.25">
      <c r="A31" s="162" t="s">
        <v>298</v>
      </c>
      <c r="B31" s="171" t="s">
        <v>136</v>
      </c>
      <c r="C31" s="177">
        <v>0</v>
      </c>
      <c r="D31" s="163">
        <f t="shared" si="4"/>
        <v>0</v>
      </c>
      <c r="E31" s="275">
        <v>0</v>
      </c>
      <c r="F31" s="163">
        <f t="shared" si="5"/>
        <v>0</v>
      </c>
    </row>
    <row r="32" spans="1:6" ht="47.25" x14ac:dyDescent="0.25">
      <c r="A32" s="162" t="s">
        <v>299</v>
      </c>
      <c r="B32" s="117" t="s">
        <v>289</v>
      </c>
      <c r="C32" s="177">
        <v>0</v>
      </c>
      <c r="D32" s="163">
        <f t="shared" si="4"/>
        <v>0</v>
      </c>
      <c r="E32" s="275">
        <v>0</v>
      </c>
      <c r="F32" s="163">
        <f t="shared" si="5"/>
        <v>0</v>
      </c>
    </row>
    <row r="33" spans="1:8" ht="47.25" x14ac:dyDescent="0.25">
      <c r="A33" s="162" t="s">
        <v>300</v>
      </c>
      <c r="B33" s="117" t="s">
        <v>137</v>
      </c>
      <c r="C33" s="177">
        <v>0</v>
      </c>
      <c r="D33" s="163">
        <f t="shared" si="4"/>
        <v>0</v>
      </c>
      <c r="E33" s="275">
        <v>0</v>
      </c>
      <c r="F33" s="163">
        <f t="shared" si="5"/>
        <v>0</v>
      </c>
    </row>
    <row r="34" spans="1:8" ht="15.75" x14ac:dyDescent="0.25">
      <c r="A34" s="162" t="s">
        <v>301</v>
      </c>
      <c r="B34" s="117" t="s">
        <v>70</v>
      </c>
      <c r="C34" s="177">
        <v>0</v>
      </c>
      <c r="D34" s="163">
        <f t="shared" si="4"/>
        <v>0</v>
      </c>
      <c r="E34" s="275">
        <v>0</v>
      </c>
      <c r="F34" s="163">
        <f t="shared" si="5"/>
        <v>0</v>
      </c>
    </row>
    <row r="35" spans="1:8" ht="15.75" x14ac:dyDescent="0.25">
      <c r="A35" s="161" t="s">
        <v>231</v>
      </c>
      <c r="B35" s="168" t="s">
        <v>138</v>
      </c>
      <c r="C35" s="176">
        <f>SUM(C36:C47)</f>
        <v>283356.73</v>
      </c>
      <c r="D35" s="164">
        <f>SUM(D36:D47)</f>
        <v>8.4108000000000018</v>
      </c>
      <c r="E35" s="175">
        <f>SUM(E36:E47)</f>
        <v>232135.52</v>
      </c>
      <c r="F35" s="175">
        <f>SUM(F36:F47)</f>
        <v>8.2299999999999986</v>
      </c>
      <c r="H35" s="7"/>
    </row>
    <row r="36" spans="1:8" ht="15.75" x14ac:dyDescent="0.25">
      <c r="A36" s="162" t="s">
        <v>229</v>
      </c>
      <c r="B36" s="169" t="s">
        <v>131</v>
      </c>
      <c r="C36" s="177">
        <v>212910</v>
      </c>
      <c r="D36" s="163">
        <f t="shared" ref="D36:D47" si="6">ROUND(C36/$C$70,4)</f>
        <v>6.3197000000000001</v>
      </c>
      <c r="E36" s="272">
        <f>'Адмінистр.витр.'!D8</f>
        <v>167190</v>
      </c>
      <c r="F36" s="163">
        <f t="shared" ref="F36:F47" si="7">ROUND(E36/$E$70,2)</f>
        <v>5.92</v>
      </c>
    </row>
    <row r="37" spans="1:8" ht="15.75" x14ac:dyDescent="0.25">
      <c r="A37" s="162" t="s">
        <v>232</v>
      </c>
      <c r="B37" s="169" t="s">
        <v>126</v>
      </c>
      <c r="C37" s="177">
        <v>50211.48</v>
      </c>
      <c r="D37" s="163">
        <f t="shared" si="6"/>
        <v>1.4903999999999999</v>
      </c>
      <c r="E37" s="272">
        <f>'Адмінистр.витр.'!D9</f>
        <v>42625.440000000002</v>
      </c>
      <c r="F37" s="163">
        <f t="shared" si="7"/>
        <v>1.51</v>
      </c>
    </row>
    <row r="38" spans="1:8" ht="15.75" x14ac:dyDescent="0.25">
      <c r="A38" s="162" t="s">
        <v>302</v>
      </c>
      <c r="B38" s="169" t="s">
        <v>127</v>
      </c>
      <c r="C38" s="177">
        <v>0</v>
      </c>
      <c r="D38" s="163">
        <f t="shared" si="6"/>
        <v>0</v>
      </c>
      <c r="E38" s="272">
        <f>Амортизація!F16</f>
        <v>4000.08</v>
      </c>
      <c r="F38" s="163">
        <f t="shared" si="7"/>
        <v>0.14000000000000001</v>
      </c>
    </row>
    <row r="39" spans="1:8" ht="15.75" x14ac:dyDescent="0.25">
      <c r="A39" s="162" t="s">
        <v>303</v>
      </c>
      <c r="B39" s="117" t="s">
        <v>73</v>
      </c>
      <c r="C39" s="177">
        <v>0</v>
      </c>
      <c r="D39" s="163">
        <f t="shared" si="6"/>
        <v>0</v>
      </c>
      <c r="E39" s="272">
        <v>0</v>
      </c>
      <c r="F39" s="163">
        <f t="shared" si="7"/>
        <v>0</v>
      </c>
    </row>
    <row r="40" spans="1:8" ht="15.75" x14ac:dyDescent="0.25">
      <c r="A40" s="162" t="s">
        <v>304</v>
      </c>
      <c r="B40" s="169" t="s">
        <v>140</v>
      </c>
      <c r="C40" s="177">
        <v>0</v>
      </c>
      <c r="D40" s="163">
        <v>0</v>
      </c>
      <c r="E40" s="272">
        <v>0</v>
      </c>
      <c r="F40" s="163">
        <f t="shared" si="7"/>
        <v>0</v>
      </c>
    </row>
    <row r="41" spans="1:8" ht="15.75" x14ac:dyDescent="0.25">
      <c r="A41" s="162" t="s">
        <v>305</v>
      </c>
      <c r="B41" s="169" t="s">
        <v>132</v>
      </c>
      <c r="C41" s="177">
        <v>0</v>
      </c>
      <c r="D41" s="163">
        <f t="shared" si="6"/>
        <v>0</v>
      </c>
      <c r="E41" s="272">
        <f>'Адмінистр.витр.'!D41</f>
        <v>5000</v>
      </c>
      <c r="F41" s="163">
        <f t="shared" si="7"/>
        <v>0.18</v>
      </c>
    </row>
    <row r="42" spans="1:8" ht="15.75" x14ac:dyDescent="0.25">
      <c r="A42" s="162" t="s">
        <v>306</v>
      </c>
      <c r="B42" s="169" t="s">
        <v>141</v>
      </c>
      <c r="C42" s="177">
        <v>0</v>
      </c>
      <c r="D42" s="163">
        <f t="shared" si="6"/>
        <v>0</v>
      </c>
      <c r="E42" s="272">
        <f>[1]админ!I17</f>
        <v>0</v>
      </c>
      <c r="F42" s="163">
        <f t="shared" si="7"/>
        <v>0</v>
      </c>
    </row>
    <row r="43" spans="1:8" ht="15.75" x14ac:dyDescent="0.25">
      <c r="A43" s="162" t="s">
        <v>307</v>
      </c>
      <c r="B43" s="169" t="s">
        <v>142</v>
      </c>
      <c r="C43" s="177">
        <v>5250</v>
      </c>
      <c r="D43" s="163">
        <f t="shared" si="6"/>
        <v>0.15579999999999999</v>
      </c>
      <c r="E43" s="272">
        <f>'Адмінистр.витр.'!D37</f>
        <v>6500</v>
      </c>
      <c r="F43" s="163">
        <f t="shared" si="7"/>
        <v>0.23</v>
      </c>
    </row>
    <row r="44" spans="1:8" ht="15.75" x14ac:dyDescent="0.25">
      <c r="A44" s="162" t="s">
        <v>308</v>
      </c>
      <c r="B44" s="169" t="s">
        <v>143</v>
      </c>
      <c r="C44" s="177">
        <v>4500</v>
      </c>
      <c r="D44" s="163">
        <f t="shared" si="6"/>
        <v>0.1336</v>
      </c>
      <c r="E44" s="272">
        <f>'Адмінистр.витр.'!D10</f>
        <v>1000</v>
      </c>
      <c r="F44" s="163">
        <f t="shared" si="7"/>
        <v>0.04</v>
      </c>
    </row>
    <row r="45" spans="1:8" ht="15.75" x14ac:dyDescent="0.25">
      <c r="A45" s="162" t="s">
        <v>309</v>
      </c>
      <c r="B45" s="169" t="s">
        <v>55</v>
      </c>
      <c r="C45" s="177">
        <v>7000</v>
      </c>
      <c r="D45" s="163">
        <f t="shared" si="6"/>
        <v>0.20780000000000001</v>
      </c>
      <c r="E45" s="272">
        <v>3000</v>
      </c>
      <c r="F45" s="163">
        <f t="shared" si="7"/>
        <v>0.11</v>
      </c>
    </row>
    <row r="46" spans="1:8" ht="31.5" x14ac:dyDescent="0.25">
      <c r="A46" s="162" t="s">
        <v>310</v>
      </c>
      <c r="B46" s="172" t="s">
        <v>54</v>
      </c>
      <c r="C46" s="177">
        <v>0</v>
      </c>
      <c r="D46" s="163">
        <f t="shared" si="6"/>
        <v>0</v>
      </c>
      <c r="E46" s="272">
        <v>0</v>
      </c>
      <c r="F46" s="163">
        <f t="shared" si="7"/>
        <v>0</v>
      </c>
    </row>
    <row r="47" spans="1:8" ht="15.75" x14ac:dyDescent="0.25">
      <c r="A47" s="162" t="s">
        <v>311</v>
      </c>
      <c r="B47" s="117" t="s">
        <v>85</v>
      </c>
      <c r="C47" s="177">
        <v>3485.25</v>
      </c>
      <c r="D47" s="163">
        <f t="shared" si="6"/>
        <v>0.10349999999999999</v>
      </c>
      <c r="E47" s="272">
        <f>'Адмінистр.витр.'!D39+'Адмінистр.витр.'!D45</f>
        <v>2820</v>
      </c>
      <c r="F47" s="163">
        <f t="shared" si="7"/>
        <v>0.1</v>
      </c>
      <c r="H47" s="11"/>
    </row>
    <row r="48" spans="1:8" ht="15.75" x14ac:dyDescent="0.25">
      <c r="A48" s="161" t="s">
        <v>233</v>
      </c>
      <c r="B48" s="168" t="s">
        <v>144</v>
      </c>
      <c r="C48" s="176">
        <f>SUM(C49:C56)</f>
        <v>0</v>
      </c>
      <c r="D48" s="164">
        <f t="shared" ref="D48:F48" si="8">SUM(D49:D56)</f>
        <v>0</v>
      </c>
      <c r="E48" s="175">
        <f t="shared" si="8"/>
        <v>0</v>
      </c>
      <c r="F48" s="164">
        <f t="shared" si="8"/>
        <v>0</v>
      </c>
    </row>
    <row r="49" spans="1:6" ht="15.75" x14ac:dyDescent="0.25">
      <c r="A49" s="162" t="s">
        <v>312</v>
      </c>
      <c r="B49" s="169" t="s">
        <v>131</v>
      </c>
      <c r="C49" s="177">
        <v>0</v>
      </c>
      <c r="D49" s="163">
        <v>0</v>
      </c>
      <c r="E49" s="272">
        <v>0</v>
      </c>
      <c r="F49" s="163">
        <f t="shared" ref="F49:F58" si="9">ROUND(E49/$E$70,2)</f>
        <v>0</v>
      </c>
    </row>
    <row r="50" spans="1:6" ht="15.75" x14ac:dyDescent="0.25">
      <c r="A50" s="162" t="s">
        <v>313</v>
      </c>
      <c r="B50" s="169" t="s">
        <v>126</v>
      </c>
      <c r="C50" s="177">
        <v>0</v>
      </c>
      <c r="D50" s="163">
        <v>0</v>
      </c>
      <c r="E50" s="272">
        <v>0</v>
      </c>
      <c r="F50" s="163">
        <f t="shared" si="9"/>
        <v>0</v>
      </c>
    </row>
    <row r="51" spans="1:6" ht="15.75" x14ac:dyDescent="0.25">
      <c r="A51" s="162" t="s">
        <v>314</v>
      </c>
      <c r="B51" s="117" t="s">
        <v>74</v>
      </c>
      <c r="C51" s="177">
        <v>0</v>
      </c>
      <c r="D51" s="163">
        <f t="shared" ref="D51:D56" si="10">ROUND(C51/$C$70,4)</f>
        <v>0</v>
      </c>
      <c r="E51" s="272">
        <v>0</v>
      </c>
      <c r="F51" s="163">
        <f t="shared" si="9"/>
        <v>0</v>
      </c>
    </row>
    <row r="52" spans="1:6" ht="15.75" x14ac:dyDescent="0.25">
      <c r="A52" s="162" t="s">
        <v>315</v>
      </c>
      <c r="B52" s="169" t="s">
        <v>145</v>
      </c>
      <c r="C52" s="177">
        <v>0</v>
      </c>
      <c r="D52" s="163">
        <f t="shared" si="10"/>
        <v>0</v>
      </c>
      <c r="E52" s="272">
        <v>0</v>
      </c>
      <c r="F52" s="163">
        <f t="shared" si="9"/>
        <v>0</v>
      </c>
    </row>
    <row r="53" spans="1:6" ht="15.75" x14ac:dyDescent="0.25">
      <c r="A53" s="162" t="s">
        <v>316</v>
      </c>
      <c r="B53" s="169" t="s">
        <v>146</v>
      </c>
      <c r="C53" s="177">
        <v>0</v>
      </c>
      <c r="D53" s="163">
        <f t="shared" si="10"/>
        <v>0</v>
      </c>
      <c r="E53" s="272">
        <v>0</v>
      </c>
      <c r="F53" s="163">
        <f t="shared" si="9"/>
        <v>0</v>
      </c>
    </row>
    <row r="54" spans="1:6" ht="63.6" customHeight="1" x14ac:dyDescent="0.25">
      <c r="A54" s="162" t="s">
        <v>317</v>
      </c>
      <c r="B54" s="172" t="s">
        <v>147</v>
      </c>
      <c r="C54" s="177">
        <v>0</v>
      </c>
      <c r="D54" s="163">
        <f t="shared" si="10"/>
        <v>0</v>
      </c>
      <c r="E54" s="272">
        <v>0</v>
      </c>
      <c r="F54" s="163">
        <f t="shared" si="9"/>
        <v>0</v>
      </c>
    </row>
    <row r="55" spans="1:6" ht="15.75" x14ac:dyDescent="0.25">
      <c r="A55" s="162" t="s">
        <v>318</v>
      </c>
      <c r="B55" s="117" t="s">
        <v>148</v>
      </c>
      <c r="C55" s="276">
        <v>0</v>
      </c>
      <c r="D55" s="163">
        <f t="shared" si="10"/>
        <v>0</v>
      </c>
      <c r="E55" s="272">
        <v>0</v>
      </c>
      <c r="F55" s="163">
        <f t="shared" si="9"/>
        <v>0</v>
      </c>
    </row>
    <row r="56" spans="1:6" ht="15.75" x14ac:dyDescent="0.25">
      <c r="A56" s="162" t="s">
        <v>319</v>
      </c>
      <c r="B56" s="169" t="s">
        <v>149</v>
      </c>
      <c r="C56" s="177">
        <v>0</v>
      </c>
      <c r="D56" s="163">
        <f t="shared" si="10"/>
        <v>0</v>
      </c>
      <c r="E56" s="272">
        <v>0</v>
      </c>
      <c r="F56" s="163">
        <f t="shared" si="9"/>
        <v>0</v>
      </c>
    </row>
    <row r="57" spans="1:6" ht="15.75" x14ac:dyDescent="0.25">
      <c r="A57" s="161" t="s">
        <v>234</v>
      </c>
      <c r="B57" s="168" t="s">
        <v>117</v>
      </c>
      <c r="C57" s="176">
        <v>61444.46</v>
      </c>
      <c r="D57" s="163">
        <f>ROUND(C57/$C$70,4)</f>
        <v>1.8238000000000001</v>
      </c>
      <c r="E57" s="175">
        <v>0</v>
      </c>
      <c r="F57" s="163">
        <f t="shared" si="9"/>
        <v>0</v>
      </c>
    </row>
    <row r="58" spans="1:6" ht="15.75" x14ac:dyDescent="0.25">
      <c r="A58" s="161" t="s">
        <v>320</v>
      </c>
      <c r="B58" s="168" t="s">
        <v>150</v>
      </c>
      <c r="C58" s="176">
        <v>0</v>
      </c>
      <c r="D58" s="163">
        <f>ROUND(C58/$C$70,4)</f>
        <v>0</v>
      </c>
      <c r="E58" s="175">
        <v>0</v>
      </c>
      <c r="F58" s="163">
        <f t="shared" si="9"/>
        <v>0</v>
      </c>
    </row>
    <row r="59" spans="1:6" ht="15.75" x14ac:dyDescent="0.25">
      <c r="A59" s="161" t="s">
        <v>321</v>
      </c>
      <c r="B59" s="168" t="s">
        <v>118</v>
      </c>
      <c r="C59" s="176">
        <f>C7+C35+C48+C57+C58</f>
        <v>674051.19</v>
      </c>
      <c r="D59" s="164">
        <f t="shared" ref="D59:F59" si="11">D7+D35+D48+D57+D58</f>
        <v>20.0075</v>
      </c>
      <c r="E59" s="175">
        <f t="shared" si="11"/>
        <v>818700.54150000005</v>
      </c>
      <c r="F59" s="164">
        <f t="shared" si="11"/>
        <v>29</v>
      </c>
    </row>
    <row r="60" spans="1:6" ht="15.75" x14ac:dyDescent="0.25">
      <c r="A60" s="161" t="s">
        <v>322</v>
      </c>
      <c r="B60" s="168" t="s">
        <v>151</v>
      </c>
      <c r="C60" s="176">
        <f>C61+C62+C63+C64+C65</f>
        <v>0</v>
      </c>
      <c r="D60" s="164">
        <f t="shared" ref="D60:F60" si="12">D61+D62+D63+D64+D65</f>
        <v>0</v>
      </c>
      <c r="E60" s="175">
        <f t="shared" si="12"/>
        <v>0</v>
      </c>
      <c r="F60" s="164">
        <f t="shared" si="12"/>
        <v>0</v>
      </c>
    </row>
    <row r="61" spans="1:6" ht="15.75" x14ac:dyDescent="0.25">
      <c r="A61" s="162" t="s">
        <v>323</v>
      </c>
      <c r="B61" s="169" t="s">
        <v>152</v>
      </c>
      <c r="C61" s="177">
        <v>0</v>
      </c>
      <c r="D61" s="163">
        <f>ROUND(C61/$C$70,4)</f>
        <v>0</v>
      </c>
      <c r="E61" s="272">
        <v>0</v>
      </c>
      <c r="F61" s="163">
        <f>ROUND(E61/$E$70,2)</f>
        <v>0</v>
      </c>
    </row>
    <row r="62" spans="1:6" ht="15.75" x14ac:dyDescent="0.25">
      <c r="A62" s="162" t="s">
        <v>324</v>
      </c>
      <c r="B62" s="169" t="s">
        <v>153</v>
      </c>
      <c r="C62" s="177">
        <v>0</v>
      </c>
      <c r="D62" s="163">
        <f>ROUND(C62/$C$70,4)</f>
        <v>0</v>
      </c>
      <c r="E62" s="272">
        <v>0</v>
      </c>
      <c r="F62" s="163">
        <f>ROUND(E62/$E$70,2)</f>
        <v>0</v>
      </c>
    </row>
    <row r="63" spans="1:6" ht="15.75" x14ac:dyDescent="0.25">
      <c r="A63" s="162" t="s">
        <v>325</v>
      </c>
      <c r="B63" s="169" t="s">
        <v>154</v>
      </c>
      <c r="C63" s="177">
        <v>0</v>
      </c>
      <c r="D63" s="163">
        <f>ROUND(C63/$C$70,4)</f>
        <v>0</v>
      </c>
      <c r="E63" s="272">
        <v>0</v>
      </c>
      <c r="F63" s="163">
        <f>ROUND(E63/$E$70,2)</f>
        <v>0</v>
      </c>
    </row>
    <row r="64" spans="1:6" ht="31.5" x14ac:dyDescent="0.25">
      <c r="A64" s="162" t="s">
        <v>326</v>
      </c>
      <c r="B64" s="172" t="s">
        <v>155</v>
      </c>
      <c r="C64" s="177">
        <v>0</v>
      </c>
      <c r="D64" s="163">
        <f>ROUND(C64/$C$70,4)</f>
        <v>0</v>
      </c>
      <c r="E64" s="272">
        <v>0</v>
      </c>
      <c r="F64" s="163">
        <f>ROUND(E64/$E$70,2)</f>
        <v>0</v>
      </c>
    </row>
    <row r="65" spans="1:6" ht="15.75" x14ac:dyDescent="0.25">
      <c r="A65" s="162" t="s">
        <v>327</v>
      </c>
      <c r="B65" s="169" t="s">
        <v>156</v>
      </c>
      <c r="C65" s="177">
        <v>0</v>
      </c>
      <c r="D65" s="163">
        <f>ROUND(C65/$C$70,4)</f>
        <v>0</v>
      </c>
      <c r="E65" s="272">
        <v>0</v>
      </c>
      <c r="F65" s="163">
        <f>ROUND(E65/$E$70,2)</f>
        <v>0</v>
      </c>
    </row>
    <row r="66" spans="1:6" ht="32.25" thickBot="1" x14ac:dyDescent="0.3">
      <c r="A66" s="166" t="s">
        <v>328</v>
      </c>
      <c r="B66" s="173" t="s">
        <v>382</v>
      </c>
      <c r="C66" s="307">
        <f>C59+C60</f>
        <v>674051.19</v>
      </c>
      <c r="D66" s="308"/>
      <c r="E66" s="309">
        <f>E59+E60</f>
        <v>818700.54150000005</v>
      </c>
      <c r="F66" s="308"/>
    </row>
    <row r="67" spans="1:6" ht="16.5" thickBot="1" x14ac:dyDescent="0.3">
      <c r="A67" s="156"/>
      <c r="B67" s="149"/>
      <c r="C67" s="149"/>
      <c r="D67" s="149"/>
      <c r="E67" s="149"/>
      <c r="F67" s="149"/>
    </row>
    <row r="68" spans="1:6" ht="24.75" thickBot="1" x14ac:dyDescent="0.35">
      <c r="A68" s="238" t="s">
        <v>329</v>
      </c>
      <c r="B68" s="239" t="s">
        <v>395</v>
      </c>
      <c r="C68" s="310">
        <f>C66/C70</f>
        <v>20.007455921638467</v>
      </c>
      <c r="D68" s="311"/>
      <c r="E68" s="312">
        <f>E66/E70</f>
        <v>29.003455171145781</v>
      </c>
      <c r="F68" s="313"/>
    </row>
    <row r="69" spans="1:6" ht="16.5" thickBot="1" x14ac:dyDescent="0.3">
      <c r="A69" s="157"/>
      <c r="B69" s="150"/>
      <c r="C69" s="151"/>
      <c r="D69" s="151"/>
      <c r="E69" s="151"/>
      <c r="F69" s="151"/>
    </row>
    <row r="70" spans="1:6" ht="24.75" thickBot="1" x14ac:dyDescent="0.3">
      <c r="A70" s="240" t="s">
        <v>330</v>
      </c>
      <c r="B70" s="241" t="s">
        <v>396</v>
      </c>
      <c r="C70" s="310">
        <v>33690</v>
      </c>
      <c r="D70" s="311"/>
      <c r="E70" s="314">
        <f>'Річний план'!E22</f>
        <v>28227.69</v>
      </c>
      <c r="F70" s="315"/>
    </row>
    <row r="71" spans="1:6" ht="16.5" thickBot="1" x14ac:dyDescent="0.3">
      <c r="A71" s="157" t="s">
        <v>331</v>
      </c>
      <c r="B71" s="150"/>
      <c r="C71" s="152"/>
      <c r="D71" s="151"/>
      <c r="E71" s="151"/>
      <c r="F71" s="151"/>
    </row>
    <row r="72" spans="1:6" ht="30.75" customHeight="1" thickBot="1" x14ac:dyDescent="0.3">
      <c r="A72" s="238" t="s">
        <v>332</v>
      </c>
      <c r="B72" s="241" t="s">
        <v>397</v>
      </c>
      <c r="C72" s="310">
        <f>C68*1.2</f>
        <v>24.008947105966161</v>
      </c>
      <c r="D72" s="311"/>
      <c r="E72" s="316">
        <f>E68*1.2</f>
        <v>34.804146205374934</v>
      </c>
      <c r="F72" s="313"/>
    </row>
    <row r="73" spans="1:6" ht="15.75" x14ac:dyDescent="0.25">
      <c r="A73" s="153"/>
      <c r="B73" s="150"/>
      <c r="C73" s="151"/>
      <c r="D73" s="151"/>
      <c r="E73" s="151"/>
      <c r="F73" s="151"/>
    </row>
    <row r="74" spans="1:6" ht="73.150000000000006" customHeight="1" x14ac:dyDescent="0.25">
      <c r="A74" s="153"/>
      <c r="B74" s="150"/>
      <c r="C74" s="151"/>
      <c r="D74" s="151"/>
      <c r="E74" s="151"/>
      <c r="F74" s="151"/>
    </row>
    <row r="75" spans="1:6" ht="15.75" x14ac:dyDescent="0.25">
      <c r="A75" s="155"/>
      <c r="B75" s="297" t="s">
        <v>157</v>
      </c>
      <c r="C75" s="154"/>
      <c r="D75" s="283" t="s">
        <v>206</v>
      </c>
      <c r="E75" s="283"/>
      <c r="F75" s="283"/>
    </row>
    <row r="76" spans="1:6" ht="15.75" x14ac:dyDescent="0.25">
      <c r="A76" s="155"/>
      <c r="B76" s="297"/>
      <c r="C76" s="63" t="s">
        <v>158</v>
      </c>
      <c r="D76" s="283" t="s">
        <v>159</v>
      </c>
      <c r="E76" s="283"/>
      <c r="F76" s="283"/>
    </row>
    <row r="77" spans="1:6" ht="15.75" x14ac:dyDescent="0.25">
      <c r="A77" s="82"/>
      <c r="B77" s="64"/>
      <c r="C77" s="14" t="s">
        <v>160</v>
      </c>
      <c r="D77" s="62"/>
      <c r="E77" s="62"/>
      <c r="F77" s="62"/>
    </row>
    <row r="78" spans="1:6" ht="15.75" x14ac:dyDescent="0.25">
      <c r="A78" s="9"/>
      <c r="B78" s="9"/>
      <c r="C78" s="9"/>
      <c r="D78" s="9"/>
      <c r="E78" s="9"/>
      <c r="F78" s="9"/>
    </row>
    <row r="84" spans="3:3" x14ac:dyDescent="0.25">
      <c r="C84" s="234"/>
    </row>
  </sheetData>
  <mergeCells count="17">
    <mergeCell ref="C72:D72"/>
    <mergeCell ref="E72:F72"/>
    <mergeCell ref="B75:B76"/>
    <mergeCell ref="D75:F75"/>
    <mergeCell ref="D76:F76"/>
    <mergeCell ref="C66:D66"/>
    <mergeCell ref="E66:F66"/>
    <mergeCell ref="C68:D68"/>
    <mergeCell ref="E68:F68"/>
    <mergeCell ref="C70:D70"/>
    <mergeCell ref="E70:F70"/>
    <mergeCell ref="A1:F1"/>
    <mergeCell ref="A2:F2"/>
    <mergeCell ref="A4:A5"/>
    <mergeCell ref="B4:B5"/>
    <mergeCell ref="C4:D4"/>
    <mergeCell ref="E4:F4"/>
  </mergeCells>
  <conditionalFormatting sqref="C20 E20">
    <cfRule type="containsText" dxfId="1" priority="1" stopIfTrue="1" operator="containsText" text="Додаток2">
      <formula>NOT(ISERROR(SEARCH("Додаток2",C20)))</formula>
    </cfRule>
    <cfRule type="containsText" dxfId="0" priority="2" stopIfTrue="1" operator="containsText" text="Додаток2">
      <formula>NOT(ISERROR(SEARCH("Додаток2",C20)))</formula>
    </cfRule>
  </conditionalFormatting>
  <pageMargins left="0.31496062992125984" right="0.31496062992125984" top="0.74803149606299213" bottom="0.74803149606299213" header="0.31496062992125984" footer="0.31496062992125984"/>
  <pageSetup paperSize="9" scale="87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43"/>
  <sheetViews>
    <sheetView workbookViewId="0">
      <selection activeCell="K36" sqref="K36"/>
    </sheetView>
  </sheetViews>
  <sheetFormatPr defaultRowHeight="15" x14ac:dyDescent="0.25"/>
  <cols>
    <col min="1" max="1" width="6.7109375" customWidth="1"/>
    <col min="2" max="2" width="47.28515625" customWidth="1"/>
    <col min="3" max="3" width="15.140625" customWidth="1"/>
    <col min="4" max="4" width="10.140625" customWidth="1"/>
    <col min="5" max="5" width="14.85546875" customWidth="1"/>
    <col min="6" max="6" width="10.28515625" customWidth="1"/>
    <col min="7" max="7" width="15.140625" customWidth="1"/>
    <col min="8" max="8" width="11.140625" customWidth="1"/>
  </cols>
  <sheetData>
    <row r="1" spans="1:10" ht="18.75" x14ac:dyDescent="0.3">
      <c r="A1" s="322" t="s">
        <v>385</v>
      </c>
      <c r="B1" s="322"/>
      <c r="C1" s="322"/>
      <c r="D1" s="322"/>
      <c r="E1" s="322"/>
      <c r="F1" s="322"/>
      <c r="G1" s="322"/>
      <c r="H1" s="322"/>
    </row>
    <row r="2" spans="1:10" ht="15.6" customHeight="1" x14ac:dyDescent="0.3">
      <c r="A2" s="322" t="s">
        <v>386</v>
      </c>
      <c r="B2" s="322"/>
      <c r="C2" s="322"/>
      <c r="D2" s="322"/>
      <c r="E2" s="322"/>
      <c r="F2" s="322"/>
      <c r="G2" s="322"/>
      <c r="H2" s="322"/>
    </row>
    <row r="3" spans="1:10" ht="16.5" thickBot="1" x14ac:dyDescent="0.3">
      <c r="A3" s="62"/>
      <c r="B3" s="62"/>
      <c r="C3" s="62"/>
      <c r="D3" s="62"/>
      <c r="E3" s="62"/>
      <c r="F3" s="62"/>
      <c r="G3" s="62"/>
      <c r="H3" s="62"/>
    </row>
    <row r="4" spans="1:10" x14ac:dyDescent="0.25">
      <c r="A4" s="323" t="s">
        <v>0</v>
      </c>
      <c r="B4" s="325" t="s">
        <v>110</v>
      </c>
      <c r="C4" s="327" t="s">
        <v>114</v>
      </c>
      <c r="D4" s="328"/>
      <c r="E4" s="327" t="s">
        <v>111</v>
      </c>
      <c r="F4" s="328"/>
      <c r="G4" s="331" t="s">
        <v>115</v>
      </c>
      <c r="H4" s="328"/>
    </row>
    <row r="5" spans="1:10" ht="24" customHeight="1" x14ac:dyDescent="0.25">
      <c r="A5" s="324"/>
      <c r="B5" s="326"/>
      <c r="C5" s="329"/>
      <c r="D5" s="330"/>
      <c r="E5" s="329"/>
      <c r="F5" s="330"/>
      <c r="G5" s="332"/>
      <c r="H5" s="330"/>
    </row>
    <row r="6" spans="1:10" ht="36.6" customHeight="1" x14ac:dyDescent="0.25">
      <c r="A6" s="324"/>
      <c r="B6" s="326"/>
      <c r="C6" s="94" t="s">
        <v>343</v>
      </c>
      <c r="D6" s="89" t="s">
        <v>112</v>
      </c>
      <c r="E6" s="94" t="s">
        <v>343</v>
      </c>
      <c r="F6" s="89" t="s">
        <v>112</v>
      </c>
      <c r="G6" s="189" t="s">
        <v>343</v>
      </c>
      <c r="H6" s="190" t="s">
        <v>112</v>
      </c>
    </row>
    <row r="7" spans="1:10" ht="15.75" x14ac:dyDescent="0.25">
      <c r="A7" s="191" t="s">
        <v>15</v>
      </c>
      <c r="B7" s="96">
        <v>2</v>
      </c>
      <c r="C7" s="94">
        <v>3</v>
      </c>
      <c r="D7" s="89">
        <v>4</v>
      </c>
      <c r="E7" s="94">
        <v>5</v>
      </c>
      <c r="F7" s="89">
        <v>6</v>
      </c>
      <c r="G7" s="192">
        <v>7</v>
      </c>
      <c r="H7" s="193">
        <v>8</v>
      </c>
    </row>
    <row r="8" spans="1:10" ht="31.5" x14ac:dyDescent="0.25">
      <c r="A8" s="242" t="s">
        <v>230</v>
      </c>
      <c r="B8" s="185" t="s">
        <v>113</v>
      </c>
      <c r="C8" s="202">
        <f>C9</f>
        <v>389712.85000000003</v>
      </c>
      <c r="D8" s="203">
        <f t="shared" ref="D8:H8" si="0">D9</f>
        <v>14.145143551958187</v>
      </c>
      <c r="E8" s="186">
        <f t="shared" si="0"/>
        <v>329250</v>
      </c>
      <c r="F8" s="182">
        <f t="shared" si="0"/>
        <v>9.7729296527159395</v>
      </c>
      <c r="G8" s="189">
        <f t="shared" si="0"/>
        <v>586565.02150000003</v>
      </c>
      <c r="H8" s="190">
        <f t="shared" si="0"/>
        <v>20.779545894147656</v>
      </c>
      <c r="J8" s="8"/>
    </row>
    <row r="9" spans="1:10" ht="15.75" x14ac:dyDescent="0.25">
      <c r="A9" s="243" t="s">
        <v>227</v>
      </c>
      <c r="B9" s="124" t="s">
        <v>91</v>
      </c>
      <c r="C9" s="204">
        <f>C10+C14+C15+C16+C19</f>
        <v>389712.85000000003</v>
      </c>
      <c r="D9" s="205">
        <f t="shared" ref="D9:H9" si="1">D10+D14+D15+D16+D19</f>
        <v>14.145143551958187</v>
      </c>
      <c r="E9" s="187">
        <f t="shared" si="1"/>
        <v>329250</v>
      </c>
      <c r="F9" s="183">
        <f t="shared" si="1"/>
        <v>9.7729296527159395</v>
      </c>
      <c r="G9" s="199">
        <f t="shared" si="1"/>
        <v>586565.02150000003</v>
      </c>
      <c r="H9" s="200">
        <f t="shared" si="1"/>
        <v>20.779545894147656</v>
      </c>
    </row>
    <row r="10" spans="1:10" ht="15.75" x14ac:dyDescent="0.25">
      <c r="A10" s="243" t="s">
        <v>278</v>
      </c>
      <c r="B10" s="124" t="s">
        <v>93</v>
      </c>
      <c r="C10" s="204">
        <f>C11+C12+C13</f>
        <v>295181.89</v>
      </c>
      <c r="D10" s="205">
        <f t="shared" ref="D10:H10" si="2">D11+D12+D13</f>
        <v>10.714017277049834</v>
      </c>
      <c r="E10" s="187">
        <f t="shared" si="2"/>
        <v>276900</v>
      </c>
      <c r="F10" s="183">
        <f t="shared" si="2"/>
        <v>8.2190560997328586</v>
      </c>
      <c r="G10" s="199">
        <f t="shared" si="2"/>
        <v>405780.8</v>
      </c>
      <c r="H10" s="200">
        <f t="shared" si="2"/>
        <v>14.37511690520051</v>
      </c>
    </row>
    <row r="11" spans="1:10" ht="15.75" x14ac:dyDescent="0.25">
      <c r="A11" s="244" t="s">
        <v>336</v>
      </c>
      <c r="B11" s="125" t="s">
        <v>94</v>
      </c>
      <c r="C11" s="206">
        <v>247071.45</v>
      </c>
      <c r="D11" s="207">
        <f>C11/27551</f>
        <v>8.9677851983594064</v>
      </c>
      <c r="E11" s="188">
        <v>229900</v>
      </c>
      <c r="F11" s="184">
        <f>E11/33690</f>
        <v>6.8239833778569308</v>
      </c>
      <c r="G11" s="201">
        <f>'Прямі витр.'!D8</f>
        <v>338000</v>
      </c>
      <c r="H11" s="279">
        <f>G11/28228</f>
        <v>11.973926597704407</v>
      </c>
    </row>
    <row r="12" spans="1:10" ht="15.75" x14ac:dyDescent="0.25">
      <c r="A12" s="244" t="s">
        <v>337</v>
      </c>
      <c r="B12" s="125" t="s">
        <v>95</v>
      </c>
      <c r="C12" s="206">
        <v>10780.8</v>
      </c>
      <c r="D12" s="207">
        <f t="shared" ref="D12:D31" si="3">C12/27551</f>
        <v>0.39130340096548216</v>
      </c>
      <c r="E12" s="188">
        <v>7000</v>
      </c>
      <c r="F12" s="184">
        <f t="shared" ref="F12:F31" si="4">E12/33690</f>
        <v>0.20777678836449986</v>
      </c>
      <c r="G12" s="201">
        <f>'Прямі витр.'!D9</f>
        <v>10780.8</v>
      </c>
      <c r="H12" s="279">
        <f t="shared" ref="H12:H13" si="5">G12/28228</f>
        <v>0.38191866232109961</v>
      </c>
    </row>
    <row r="13" spans="1:10" ht="31.5" x14ac:dyDescent="0.25">
      <c r="A13" s="244" t="s">
        <v>338</v>
      </c>
      <c r="B13" s="125" t="s">
        <v>96</v>
      </c>
      <c r="C13" s="206">
        <f>12910+3747.9+10899.87+878+378+2000.8+4049.11+474.19+1991.77</f>
        <v>37329.64</v>
      </c>
      <c r="D13" s="207">
        <f t="shared" si="3"/>
        <v>1.3549286777249465</v>
      </c>
      <c r="E13" s="188">
        <v>40000</v>
      </c>
      <c r="F13" s="184">
        <f t="shared" si="4"/>
        <v>1.1872959335114277</v>
      </c>
      <c r="G13" s="201">
        <f>'Прямі витр.'!D10</f>
        <v>57000</v>
      </c>
      <c r="H13" s="279">
        <f t="shared" si="5"/>
        <v>2.0192716451750035</v>
      </c>
    </row>
    <row r="14" spans="1:10" ht="33" customHeight="1" x14ac:dyDescent="0.25">
      <c r="A14" s="244" t="s">
        <v>279</v>
      </c>
      <c r="B14" s="124" t="s">
        <v>97</v>
      </c>
      <c r="C14" s="204">
        <f>15750+40000</f>
        <v>55750</v>
      </c>
      <c r="D14" s="205">
        <f t="shared" si="3"/>
        <v>2.0235200174222352</v>
      </c>
      <c r="E14" s="187">
        <v>20000</v>
      </c>
      <c r="F14" s="183">
        <f t="shared" si="4"/>
        <v>0.59364796675571385</v>
      </c>
      <c r="G14" s="199">
        <f>'Прямі витр.'!D11</f>
        <v>20000</v>
      </c>
      <c r="H14" s="280">
        <f>G14/28228</f>
        <v>0.70851636672807139</v>
      </c>
    </row>
    <row r="15" spans="1:10" ht="15.75" x14ac:dyDescent="0.25">
      <c r="A15" s="244" t="s">
        <v>280</v>
      </c>
      <c r="B15" s="124" t="s">
        <v>98</v>
      </c>
      <c r="C15" s="204">
        <v>0</v>
      </c>
      <c r="D15" s="205">
        <f t="shared" si="3"/>
        <v>0</v>
      </c>
      <c r="E15" s="187">
        <v>0</v>
      </c>
      <c r="F15" s="183">
        <f t="shared" si="4"/>
        <v>0</v>
      </c>
      <c r="G15" s="199">
        <f>'Прямі витр.'!D12</f>
        <v>91440</v>
      </c>
      <c r="H15" s="280">
        <f>G15/28228</f>
        <v>3.2393368286807425</v>
      </c>
    </row>
    <row r="16" spans="1:10" ht="15.75" x14ac:dyDescent="0.25">
      <c r="A16" s="243" t="s">
        <v>334</v>
      </c>
      <c r="B16" s="115" t="s">
        <v>100</v>
      </c>
      <c r="C16" s="204">
        <f>C17+C18</f>
        <v>36764.44</v>
      </c>
      <c r="D16" s="205">
        <f t="shared" ref="D16:H16" si="6">D17+D18</f>
        <v>1.3344139958622192</v>
      </c>
      <c r="E16" s="187">
        <f t="shared" si="6"/>
        <v>32350</v>
      </c>
      <c r="F16" s="183">
        <f t="shared" si="6"/>
        <v>0.9602255862273672</v>
      </c>
      <c r="G16" s="199">
        <f t="shared" si="6"/>
        <v>38630</v>
      </c>
      <c r="H16" s="199">
        <f t="shared" si="6"/>
        <v>1.3684993623352701</v>
      </c>
    </row>
    <row r="17" spans="1:8" ht="21" customHeight="1" x14ac:dyDescent="0.25">
      <c r="A17" s="244" t="s">
        <v>339</v>
      </c>
      <c r="B17" s="117" t="s">
        <v>101</v>
      </c>
      <c r="C17" s="206">
        <v>2123.08</v>
      </c>
      <c r="D17" s="207">
        <f t="shared" si="3"/>
        <v>7.7059997822220602E-2</v>
      </c>
      <c r="E17" s="188">
        <v>1950</v>
      </c>
      <c r="F17" s="184">
        <f t="shared" si="4"/>
        <v>5.7880676758682102E-2</v>
      </c>
      <c r="G17" s="201">
        <f>'Прямі витр.'!D14</f>
        <v>2660</v>
      </c>
      <c r="H17" s="279">
        <f>G17/28228</f>
        <v>9.4232676774833504E-2</v>
      </c>
    </row>
    <row r="18" spans="1:8" ht="15.75" x14ac:dyDescent="0.25">
      <c r="A18" s="244" t="s">
        <v>340</v>
      </c>
      <c r="B18" s="117" t="s">
        <v>102</v>
      </c>
      <c r="C18" s="206">
        <v>34641.360000000001</v>
      </c>
      <c r="D18" s="207">
        <f t="shared" si="3"/>
        <v>1.2573539980399986</v>
      </c>
      <c r="E18" s="188">
        <v>30400</v>
      </c>
      <c r="F18" s="184">
        <f t="shared" si="4"/>
        <v>0.90234490946868506</v>
      </c>
      <c r="G18" s="201">
        <f>'Прямі витр.'!D15</f>
        <v>35970</v>
      </c>
      <c r="H18" s="279">
        <f>G18/28228</f>
        <v>1.2742666855604365</v>
      </c>
    </row>
    <row r="19" spans="1:8" ht="15.75" x14ac:dyDescent="0.25">
      <c r="A19" s="243" t="s">
        <v>335</v>
      </c>
      <c r="B19" s="124" t="s">
        <v>99</v>
      </c>
      <c r="C19" s="204">
        <f>C20+C21</f>
        <v>2016.52</v>
      </c>
      <c r="D19" s="205">
        <f t="shared" ref="D19:H19" si="7">D20+D21</f>
        <v>7.3192261623897498E-2</v>
      </c>
      <c r="E19" s="187">
        <f t="shared" si="7"/>
        <v>0</v>
      </c>
      <c r="F19" s="183">
        <f t="shared" si="7"/>
        <v>0</v>
      </c>
      <c r="G19" s="199">
        <f t="shared" si="7"/>
        <v>30714.2215</v>
      </c>
      <c r="H19" s="200">
        <f t="shared" si="7"/>
        <v>1.0880764312030609</v>
      </c>
    </row>
    <row r="20" spans="1:8" ht="33.75" customHeight="1" x14ac:dyDescent="0.25">
      <c r="A20" s="244" t="s">
        <v>341</v>
      </c>
      <c r="B20" s="125" t="s">
        <v>375</v>
      </c>
      <c r="C20" s="206">
        <v>0</v>
      </c>
      <c r="D20" s="207">
        <f t="shared" si="3"/>
        <v>0</v>
      </c>
      <c r="E20" s="188">
        <v>0</v>
      </c>
      <c r="F20" s="184">
        <f t="shared" si="4"/>
        <v>0</v>
      </c>
      <c r="G20" s="201">
        <v>20116.8</v>
      </c>
      <c r="H20" s="279">
        <f>G20/28228</f>
        <v>0.71265410230976334</v>
      </c>
    </row>
    <row r="21" spans="1:8" ht="63" x14ac:dyDescent="0.25">
      <c r="A21" s="244" t="s">
        <v>342</v>
      </c>
      <c r="B21" s="125" t="s">
        <v>109</v>
      </c>
      <c r="C21" s="206">
        <v>2016.52</v>
      </c>
      <c r="D21" s="207">
        <f t="shared" si="3"/>
        <v>7.3192261623897498E-2</v>
      </c>
      <c r="E21" s="188">
        <v>0</v>
      </c>
      <c r="F21" s="184">
        <f t="shared" si="4"/>
        <v>0</v>
      </c>
      <c r="G21" s="201">
        <f>Амортизація!F15</f>
        <v>10597.421499999999</v>
      </c>
      <c r="H21" s="279">
        <f>G21/28228</f>
        <v>0.37542232889329741</v>
      </c>
    </row>
    <row r="22" spans="1:8" ht="15.75" x14ac:dyDescent="0.25">
      <c r="A22" s="243" t="s">
        <v>231</v>
      </c>
      <c r="B22" s="93" t="s">
        <v>116</v>
      </c>
      <c r="C22" s="204">
        <v>231031.21000000002</v>
      </c>
      <c r="D22" s="205">
        <f t="shared" si="3"/>
        <v>8.3855834633951591</v>
      </c>
      <c r="E22" s="187">
        <v>283356.73</v>
      </c>
      <c r="F22" s="183">
        <f t="shared" si="4"/>
        <v>8.4107073315523895</v>
      </c>
      <c r="G22" s="199">
        <f>G23+G24+G25+G26+G27+G28+G29+G30</f>
        <v>232135.52</v>
      </c>
      <c r="H22" s="200">
        <f>H23+H24+H25+H26+H27+H28+H29+H30</f>
        <v>8.2235907609465801</v>
      </c>
    </row>
    <row r="23" spans="1:8" ht="15.75" x14ac:dyDescent="0.25">
      <c r="A23" s="266" t="s">
        <v>229</v>
      </c>
      <c r="B23" s="265" t="s">
        <v>417</v>
      </c>
      <c r="C23" s="267">
        <v>167426.14000000001</v>
      </c>
      <c r="D23" s="268">
        <f t="shared" si="3"/>
        <v>6.0769532866320644</v>
      </c>
      <c r="E23" s="269">
        <v>212910</v>
      </c>
      <c r="F23" s="270">
        <f t="shared" si="4"/>
        <v>6.3196794300979517</v>
      </c>
      <c r="G23" s="271">
        <f>'Адмінистр.витр.'!D8</f>
        <v>167190</v>
      </c>
      <c r="H23" s="279">
        <f>G23/28228</f>
        <v>5.922842567663313</v>
      </c>
    </row>
    <row r="24" spans="1:8" ht="15.75" x14ac:dyDescent="0.25">
      <c r="A24" s="266" t="s">
        <v>232</v>
      </c>
      <c r="B24" s="265" t="s">
        <v>418</v>
      </c>
      <c r="C24" s="267">
        <v>42229.440000000002</v>
      </c>
      <c r="D24" s="268">
        <f t="shared" si="3"/>
        <v>1.532773402054372</v>
      </c>
      <c r="E24" s="269">
        <v>50211.48</v>
      </c>
      <c r="F24" s="270">
        <f t="shared" si="4"/>
        <v>1.4903971504897597</v>
      </c>
      <c r="G24" s="271">
        <v>42625.440000000002</v>
      </c>
      <c r="H24" s="279">
        <f t="shared" ref="H24:H31" si="8">G24/28228</f>
        <v>1.5100410939492703</v>
      </c>
    </row>
    <row r="25" spans="1:8" ht="15.75" x14ac:dyDescent="0.25">
      <c r="A25" s="266" t="s">
        <v>302</v>
      </c>
      <c r="B25" s="265" t="s">
        <v>419</v>
      </c>
      <c r="C25" s="267">
        <v>3666.74</v>
      </c>
      <c r="D25" s="268">
        <f t="shared" si="3"/>
        <v>0.1330891800660593</v>
      </c>
      <c r="E25" s="269">
        <v>0</v>
      </c>
      <c r="F25" s="270">
        <f t="shared" si="4"/>
        <v>0</v>
      </c>
      <c r="G25" s="271">
        <f>Амортизація!F16</f>
        <v>4000.08</v>
      </c>
      <c r="H25" s="279">
        <f t="shared" si="8"/>
        <v>0.14170610741108119</v>
      </c>
    </row>
    <row r="26" spans="1:8" ht="15.75" x14ac:dyDescent="0.25">
      <c r="A26" s="266" t="s">
        <v>303</v>
      </c>
      <c r="B26" s="265" t="s">
        <v>420</v>
      </c>
      <c r="C26" s="267">
        <v>5414</v>
      </c>
      <c r="D26" s="268">
        <f t="shared" si="3"/>
        <v>0.19650829370984718</v>
      </c>
      <c r="E26" s="269">
        <v>0</v>
      </c>
      <c r="F26" s="270">
        <f t="shared" si="4"/>
        <v>0</v>
      </c>
      <c r="G26" s="271">
        <f>'Адмінистр.витр.'!D40</f>
        <v>5000</v>
      </c>
      <c r="H26" s="279">
        <f t="shared" si="8"/>
        <v>0.17712909168201785</v>
      </c>
    </row>
    <row r="27" spans="1:8" ht="15.75" x14ac:dyDescent="0.25">
      <c r="A27" s="266" t="s">
        <v>304</v>
      </c>
      <c r="B27" s="265" t="s">
        <v>421</v>
      </c>
      <c r="C27" s="267">
        <v>5851.89</v>
      </c>
      <c r="D27" s="268">
        <f t="shared" si="3"/>
        <v>0.21240209066821533</v>
      </c>
      <c r="E27" s="269">
        <v>5250</v>
      </c>
      <c r="F27" s="270">
        <f t="shared" si="4"/>
        <v>0.1558325912733749</v>
      </c>
      <c r="G27" s="271">
        <f>'Адмінистр.витр.'!D37</f>
        <v>6500</v>
      </c>
      <c r="H27" s="279">
        <f t="shared" si="8"/>
        <v>0.2302678191866232</v>
      </c>
    </row>
    <row r="28" spans="1:8" ht="15.75" x14ac:dyDescent="0.25">
      <c r="A28" s="266" t="s">
        <v>305</v>
      </c>
      <c r="B28" s="265" t="s">
        <v>143</v>
      </c>
      <c r="C28" s="267">
        <v>1120</v>
      </c>
      <c r="D28" s="268">
        <f t="shared" si="3"/>
        <v>4.0651881964357012E-2</v>
      </c>
      <c r="E28" s="269">
        <v>4500</v>
      </c>
      <c r="F28" s="270">
        <f t="shared" si="4"/>
        <v>0.13357079252003562</v>
      </c>
      <c r="G28" s="271">
        <f>'Адмінистр.витр.'!D10</f>
        <v>1000</v>
      </c>
      <c r="H28" s="279">
        <f t="shared" si="8"/>
        <v>3.5425818336403569E-2</v>
      </c>
    </row>
    <row r="29" spans="1:8" ht="15.75" x14ac:dyDescent="0.25">
      <c r="A29" s="266" t="s">
        <v>306</v>
      </c>
      <c r="B29" s="265" t="s">
        <v>55</v>
      </c>
      <c r="C29" s="267">
        <v>2413</v>
      </c>
      <c r="D29" s="268">
        <f t="shared" si="3"/>
        <v>8.7583027839279876E-2</v>
      </c>
      <c r="E29" s="269">
        <v>7000</v>
      </c>
      <c r="F29" s="270">
        <f t="shared" si="4"/>
        <v>0.20777678836449986</v>
      </c>
      <c r="G29" s="271">
        <f>'Адмінистр.витр.'!D13</f>
        <v>3000</v>
      </c>
      <c r="H29" s="279">
        <f t="shared" si="8"/>
        <v>0.10627745500921071</v>
      </c>
    </row>
    <row r="30" spans="1:8" ht="15.75" x14ac:dyDescent="0.25">
      <c r="A30" s="266" t="s">
        <v>307</v>
      </c>
      <c r="B30" s="265" t="s">
        <v>85</v>
      </c>
      <c r="C30" s="267">
        <f>690+2220</f>
        <v>2910</v>
      </c>
      <c r="D30" s="268">
        <f t="shared" si="3"/>
        <v>0.1056223004609633</v>
      </c>
      <c r="E30" s="269">
        <v>3485.25</v>
      </c>
      <c r="F30" s="270">
        <f t="shared" si="4"/>
        <v>0.10345057880676758</v>
      </c>
      <c r="G30" s="271">
        <f>'Адмінистр.витр.'!D39+'Адмінистр.витр.'!D45</f>
        <v>2820</v>
      </c>
      <c r="H30" s="279">
        <f t="shared" si="8"/>
        <v>9.9900807708658071E-2</v>
      </c>
    </row>
    <row r="31" spans="1:8" ht="16.5" thickBot="1" x14ac:dyDescent="0.3">
      <c r="A31" s="245" t="s">
        <v>233</v>
      </c>
      <c r="B31" s="208" t="s">
        <v>117</v>
      </c>
      <c r="C31" s="216">
        <v>44877.279999999999</v>
      </c>
      <c r="D31" s="217">
        <f t="shared" si="3"/>
        <v>1.628880258429821</v>
      </c>
      <c r="E31" s="218">
        <v>61444.46</v>
      </c>
      <c r="F31" s="219">
        <f t="shared" si="4"/>
        <v>1.8238189373701394</v>
      </c>
      <c r="G31" s="220">
        <v>0</v>
      </c>
      <c r="H31" s="280">
        <f t="shared" si="8"/>
        <v>0</v>
      </c>
    </row>
    <row r="32" spans="1:8" ht="25.9" customHeight="1" thickBot="1" x14ac:dyDescent="0.35">
      <c r="A32" s="194" t="s">
        <v>234</v>
      </c>
      <c r="B32" s="209" t="s">
        <v>381</v>
      </c>
      <c r="C32" s="210">
        <f>C8+C22+C31</f>
        <v>665621.34000000008</v>
      </c>
      <c r="D32" s="211">
        <f t="shared" ref="D32:H32" si="9">D8+D22+D31</f>
        <v>24.159607273783166</v>
      </c>
      <c r="E32" s="212">
        <f t="shared" si="9"/>
        <v>674051.19</v>
      </c>
      <c r="F32" s="213">
        <f t="shared" si="9"/>
        <v>20.007455921638467</v>
      </c>
      <c r="G32" s="214">
        <f t="shared" si="9"/>
        <v>818700.54150000005</v>
      </c>
      <c r="H32" s="215">
        <f t="shared" si="9"/>
        <v>29.003136655094238</v>
      </c>
    </row>
    <row r="33" spans="1:8" ht="16.5" thickBot="1" x14ac:dyDescent="0.3">
      <c r="A33" s="46"/>
      <c r="B33" s="46"/>
      <c r="C33" s="181"/>
      <c r="D33" s="181"/>
      <c r="E33" s="181"/>
      <c r="F33" s="181"/>
      <c r="G33" s="181"/>
      <c r="H33" s="181"/>
    </row>
    <row r="34" spans="1:8" ht="19.5" thickBot="1" x14ac:dyDescent="0.35">
      <c r="A34" s="195" t="s">
        <v>320</v>
      </c>
      <c r="B34" s="196" t="s">
        <v>119</v>
      </c>
      <c r="C34" s="333">
        <v>27551</v>
      </c>
      <c r="D34" s="334"/>
      <c r="E34" s="335">
        <v>33690</v>
      </c>
      <c r="F34" s="336"/>
      <c r="G34" s="337">
        <f>'Річний план'!E22</f>
        <v>28227.69</v>
      </c>
      <c r="H34" s="338"/>
    </row>
    <row r="35" spans="1:8" ht="19.5" thickBot="1" x14ac:dyDescent="0.35">
      <c r="A35" s="197"/>
      <c r="B35" s="197"/>
      <c r="C35" s="198"/>
      <c r="D35" s="198"/>
      <c r="E35" s="198"/>
      <c r="F35" s="198"/>
      <c r="G35" s="198"/>
      <c r="H35" s="198"/>
    </row>
    <row r="36" spans="1:8" ht="19.5" thickBot="1" x14ac:dyDescent="0.35">
      <c r="A36" s="195" t="s">
        <v>321</v>
      </c>
      <c r="B36" s="196" t="s">
        <v>169</v>
      </c>
      <c r="C36" s="339">
        <f>C32/C34</f>
        <v>24.15960727378317</v>
      </c>
      <c r="D36" s="340"/>
      <c r="E36" s="318">
        <f t="shared" ref="E36:G36" si="10">E32/E34</f>
        <v>20.007455921638467</v>
      </c>
      <c r="F36" s="319"/>
      <c r="G36" s="320">
        <f t="shared" si="10"/>
        <v>29.003455171145781</v>
      </c>
      <c r="H36" s="321"/>
    </row>
    <row r="37" spans="1:8" ht="19.5" thickBot="1" x14ac:dyDescent="0.35">
      <c r="A37" s="197"/>
      <c r="B37" s="197"/>
      <c r="C37" s="237"/>
      <c r="D37" s="237"/>
      <c r="E37" s="237"/>
      <c r="F37" s="237"/>
      <c r="G37" s="237"/>
      <c r="H37" s="237"/>
    </row>
    <row r="38" spans="1:8" ht="19.5" thickBot="1" x14ac:dyDescent="0.35">
      <c r="A38" s="195" t="s">
        <v>322</v>
      </c>
      <c r="B38" s="196" t="s">
        <v>170</v>
      </c>
      <c r="C38" s="339">
        <f>C36*1.2</f>
        <v>28.991528728539802</v>
      </c>
      <c r="D38" s="340"/>
      <c r="E38" s="318">
        <f t="shared" ref="E38:G38" si="11">E36*1.2</f>
        <v>24.008947105966161</v>
      </c>
      <c r="F38" s="319"/>
      <c r="G38" s="320">
        <f t="shared" si="11"/>
        <v>34.804146205374934</v>
      </c>
      <c r="H38" s="321"/>
    </row>
    <row r="40" spans="1:8" ht="72" customHeight="1" x14ac:dyDescent="0.25"/>
    <row r="41" spans="1:8" ht="15.75" x14ac:dyDescent="0.25">
      <c r="A41" s="155"/>
      <c r="B41" s="297" t="s">
        <v>205</v>
      </c>
      <c r="C41" s="154"/>
      <c r="D41" s="283"/>
      <c r="E41" s="283"/>
      <c r="F41" s="283"/>
      <c r="G41" s="317" t="s">
        <v>206</v>
      </c>
      <c r="H41" s="317"/>
    </row>
    <row r="42" spans="1:8" ht="15.75" x14ac:dyDescent="0.25">
      <c r="A42" s="155"/>
      <c r="B42" s="297"/>
      <c r="C42" s="63" t="s">
        <v>158</v>
      </c>
      <c r="D42" s="283"/>
      <c r="E42" s="283"/>
      <c r="F42" s="283"/>
      <c r="G42" s="317" t="s">
        <v>159</v>
      </c>
      <c r="H42" s="317"/>
    </row>
    <row r="43" spans="1:8" ht="15.75" x14ac:dyDescent="0.25">
      <c r="A43" s="82"/>
      <c r="B43" s="64"/>
      <c r="C43" s="14" t="s">
        <v>160</v>
      </c>
      <c r="D43" s="62"/>
      <c r="E43" s="62"/>
      <c r="F43" s="62"/>
      <c r="G43" s="62"/>
      <c r="H43" s="62"/>
    </row>
  </sheetData>
  <mergeCells count="21">
    <mergeCell ref="E36:F36"/>
    <mergeCell ref="E38:F38"/>
    <mergeCell ref="G36:H36"/>
    <mergeCell ref="G38:H38"/>
    <mergeCell ref="A1:H1"/>
    <mergeCell ref="A2:H2"/>
    <mergeCell ref="A4:A6"/>
    <mergeCell ref="B4:B6"/>
    <mergeCell ref="C4:D5"/>
    <mergeCell ref="E4:F5"/>
    <mergeCell ref="G4:H5"/>
    <mergeCell ref="C34:D34"/>
    <mergeCell ref="E34:F34"/>
    <mergeCell ref="G34:H34"/>
    <mergeCell ref="C36:D36"/>
    <mergeCell ref="C38:D38"/>
    <mergeCell ref="B41:B42"/>
    <mergeCell ref="D41:F41"/>
    <mergeCell ref="D42:F42"/>
    <mergeCell ref="G41:H41"/>
    <mergeCell ref="G42:H42"/>
  </mergeCells>
  <pageMargins left="0.39370078740157483" right="0.39370078740157483" top="0.78740157480314965" bottom="0.35433070866141736" header="0.31496062992125984" footer="0.31496062992125984"/>
  <pageSetup paperSize="9" scale="73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21"/>
  <sheetViews>
    <sheetView workbookViewId="0">
      <selection activeCell="H14" sqref="H14"/>
    </sheetView>
  </sheetViews>
  <sheetFormatPr defaultRowHeight="15" x14ac:dyDescent="0.25"/>
  <cols>
    <col min="1" max="1" width="4.5703125" customWidth="1"/>
    <col min="2" max="2" width="31.28515625" customWidth="1"/>
    <col min="3" max="3" width="12.5703125" customWidth="1"/>
    <col min="4" max="4" width="14.28515625" customWidth="1"/>
    <col min="5" max="5" width="10.42578125" customWidth="1"/>
    <col min="6" max="6" width="23.7109375" customWidth="1"/>
  </cols>
  <sheetData>
    <row r="1" spans="1:6" ht="15.75" x14ac:dyDescent="0.25">
      <c r="A1" s="62"/>
      <c r="B1" s="62" t="s">
        <v>200</v>
      </c>
      <c r="C1" s="62"/>
      <c r="D1" s="341" t="s">
        <v>220</v>
      </c>
      <c r="E1" s="341"/>
      <c r="F1" s="341"/>
    </row>
    <row r="2" spans="1:6" ht="15.75" x14ac:dyDescent="0.25">
      <c r="A2" s="62"/>
      <c r="B2" s="62" t="s">
        <v>217</v>
      </c>
      <c r="C2" s="62"/>
      <c r="D2" s="341" t="s">
        <v>373</v>
      </c>
      <c r="E2" s="341"/>
      <c r="F2" s="341"/>
    </row>
    <row r="3" spans="1:6" ht="21" customHeight="1" x14ac:dyDescent="0.25">
      <c r="A3" s="62"/>
      <c r="B3" s="62" t="s">
        <v>218</v>
      </c>
      <c r="C3" s="62"/>
      <c r="D3" s="341" t="s">
        <v>221</v>
      </c>
      <c r="E3" s="341"/>
      <c r="F3" s="341"/>
    </row>
    <row r="4" spans="1:6" ht="15.75" x14ac:dyDescent="0.25">
      <c r="A4" s="62"/>
      <c r="B4" s="62" t="s">
        <v>219</v>
      </c>
      <c r="C4" s="62"/>
      <c r="D4" s="341" t="s">
        <v>222</v>
      </c>
      <c r="E4" s="341"/>
      <c r="F4" s="341"/>
    </row>
    <row r="5" spans="1:6" ht="15.75" x14ac:dyDescent="0.25">
      <c r="A5" s="62"/>
      <c r="B5" s="62"/>
      <c r="C5" s="62"/>
      <c r="D5" s="341" t="s">
        <v>223</v>
      </c>
      <c r="E5" s="341"/>
      <c r="F5" s="341"/>
    </row>
    <row r="6" spans="1:6" ht="21.6" customHeight="1" x14ac:dyDescent="0.25">
      <c r="A6" s="62"/>
      <c r="B6" s="62"/>
      <c r="C6" s="62"/>
      <c r="D6" s="341" t="s">
        <v>224</v>
      </c>
      <c r="E6" s="341"/>
      <c r="F6" s="341"/>
    </row>
    <row r="7" spans="1:6" ht="15.75" x14ac:dyDescent="0.25">
      <c r="A7" s="62"/>
      <c r="B7" s="62"/>
      <c r="C7" s="62"/>
      <c r="D7" s="67" t="s">
        <v>219</v>
      </c>
      <c r="E7" s="68"/>
      <c r="F7" s="68"/>
    </row>
    <row r="8" spans="1:6" ht="15.75" x14ac:dyDescent="0.25">
      <c r="A8" s="62"/>
      <c r="B8" s="62"/>
      <c r="C8" s="62"/>
      <c r="D8" s="68"/>
      <c r="E8" s="68"/>
      <c r="F8" s="68"/>
    </row>
    <row r="9" spans="1:6" ht="15.75" x14ac:dyDescent="0.25">
      <c r="A9" s="62"/>
      <c r="B9" s="62"/>
      <c r="C9" s="62"/>
      <c r="D9" s="68"/>
      <c r="E9" s="68"/>
      <c r="F9" s="68"/>
    </row>
    <row r="10" spans="1:6" ht="15.75" x14ac:dyDescent="0.25">
      <c r="A10" s="62"/>
      <c r="B10" s="317" t="s">
        <v>225</v>
      </c>
      <c r="C10" s="317"/>
      <c r="D10" s="317"/>
      <c r="E10" s="317"/>
      <c r="F10" s="317"/>
    </row>
    <row r="11" spans="1:6" ht="15.75" x14ac:dyDescent="0.25">
      <c r="A11" s="62"/>
      <c r="B11" s="317" t="s">
        <v>226</v>
      </c>
      <c r="C11" s="317"/>
      <c r="D11" s="317"/>
      <c r="E11" s="317"/>
      <c r="F11" s="317"/>
    </row>
    <row r="12" spans="1:6" ht="15.75" x14ac:dyDescent="0.25">
      <c r="A12" s="62"/>
      <c r="B12" s="62"/>
      <c r="C12" s="62"/>
      <c r="D12" s="62"/>
      <c r="E12" s="62"/>
      <c r="F12" s="62"/>
    </row>
    <row r="13" spans="1:6" ht="15.75" x14ac:dyDescent="0.25">
      <c r="A13" s="62"/>
      <c r="B13" s="62"/>
      <c r="C13" s="62"/>
      <c r="D13" s="62"/>
      <c r="E13" s="62"/>
      <c r="F13" s="62"/>
    </row>
    <row r="14" spans="1:6" ht="63" x14ac:dyDescent="0.25">
      <c r="A14" s="69" t="s">
        <v>172</v>
      </c>
      <c r="B14" s="70" t="s">
        <v>207</v>
      </c>
      <c r="C14" s="69" t="s">
        <v>208</v>
      </c>
      <c r="D14" s="69" t="s">
        <v>209</v>
      </c>
      <c r="E14" s="69" t="s">
        <v>210</v>
      </c>
      <c r="F14" s="69" t="s">
        <v>211</v>
      </c>
    </row>
    <row r="15" spans="1:6" ht="15.75" x14ac:dyDescent="0.25">
      <c r="A15" s="71" t="s">
        <v>173</v>
      </c>
      <c r="B15" s="72" t="s">
        <v>212</v>
      </c>
      <c r="C15" s="70">
        <v>1</v>
      </c>
      <c r="D15" s="70">
        <v>9446</v>
      </c>
      <c r="E15" s="70" t="s">
        <v>213</v>
      </c>
      <c r="F15" s="73">
        <v>9446</v>
      </c>
    </row>
    <row r="16" spans="1:6" ht="15.75" x14ac:dyDescent="0.25">
      <c r="A16" s="71" t="s">
        <v>178</v>
      </c>
      <c r="B16" s="72" t="s">
        <v>214</v>
      </c>
      <c r="C16" s="70">
        <v>1</v>
      </c>
      <c r="D16" s="70">
        <v>8973</v>
      </c>
      <c r="E16" s="70">
        <v>3433</v>
      </c>
      <c r="F16" s="73">
        <v>8973</v>
      </c>
    </row>
    <row r="17" spans="1:6" ht="15.75" x14ac:dyDescent="0.25">
      <c r="A17" s="71" t="s">
        <v>179</v>
      </c>
      <c r="B17" s="72" t="s">
        <v>215</v>
      </c>
      <c r="C17" s="70">
        <v>1</v>
      </c>
      <c r="D17" s="70">
        <v>7620</v>
      </c>
      <c r="E17" s="70">
        <v>7233</v>
      </c>
      <c r="F17" s="73">
        <v>7620</v>
      </c>
    </row>
    <row r="18" spans="1:6" ht="15.75" x14ac:dyDescent="0.25">
      <c r="A18" s="71"/>
      <c r="B18" s="72"/>
      <c r="C18" s="70"/>
      <c r="D18" s="70"/>
      <c r="E18" s="70"/>
      <c r="F18" s="73"/>
    </row>
    <row r="19" spans="1:6" ht="15.75" x14ac:dyDescent="0.25">
      <c r="A19" s="71"/>
      <c r="B19" s="72"/>
      <c r="C19" s="70"/>
      <c r="D19" s="70"/>
      <c r="E19" s="70"/>
      <c r="F19" s="73"/>
    </row>
    <row r="20" spans="1:6" ht="15.75" x14ac:dyDescent="0.25">
      <c r="A20" s="71"/>
      <c r="B20" s="72"/>
      <c r="C20" s="70"/>
      <c r="D20" s="70"/>
      <c r="E20" s="70"/>
      <c r="F20" s="73"/>
    </row>
    <row r="21" spans="1:6" ht="15.75" x14ac:dyDescent="0.25">
      <c r="A21" s="71"/>
      <c r="B21" s="72" t="s">
        <v>216</v>
      </c>
      <c r="C21" s="70">
        <v>3</v>
      </c>
      <c r="D21" s="70">
        <v>26039</v>
      </c>
      <c r="E21" s="70"/>
      <c r="F21" s="73">
        <v>26039</v>
      </c>
    </row>
  </sheetData>
  <mergeCells count="8">
    <mergeCell ref="D6:F6"/>
    <mergeCell ref="B10:F10"/>
    <mergeCell ref="B11:F11"/>
    <mergeCell ref="D1:F1"/>
    <mergeCell ref="D2:F2"/>
    <mergeCell ref="D3:F3"/>
    <mergeCell ref="D4:F4"/>
    <mergeCell ref="D5:F5"/>
  </mergeCells>
  <pageMargins left="0.7" right="0.7" top="0.75" bottom="0.75" header="0.3" footer="0.3"/>
  <pageSetup paperSize="9" scale="91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24"/>
  <sheetViews>
    <sheetView workbookViewId="0">
      <selection activeCell="H7" sqref="H7"/>
    </sheetView>
  </sheetViews>
  <sheetFormatPr defaultRowHeight="15" x14ac:dyDescent="0.25"/>
  <cols>
    <col min="2" max="2" width="36.140625" customWidth="1"/>
    <col min="3" max="3" width="17.85546875" customWidth="1"/>
    <col min="4" max="4" width="20.28515625" customWidth="1"/>
  </cols>
  <sheetData>
    <row r="1" spans="1:4" ht="15.75" x14ac:dyDescent="0.25">
      <c r="A1" s="342" t="s">
        <v>406</v>
      </c>
      <c r="B1" s="342"/>
      <c r="C1" s="342"/>
      <c r="D1" s="342"/>
    </row>
    <row r="2" spans="1:4" ht="15.75" x14ac:dyDescent="0.25">
      <c r="A2" s="343"/>
      <c r="B2" s="343"/>
      <c r="C2" s="343"/>
      <c r="D2" s="343"/>
    </row>
    <row r="3" spans="1:4" ht="15.75" x14ac:dyDescent="0.25">
      <c r="A3" s="62"/>
      <c r="B3" s="62"/>
      <c r="C3" s="46"/>
      <c r="D3" s="83" t="s">
        <v>410</v>
      </c>
    </row>
    <row r="4" spans="1:4" ht="51.6" customHeight="1" x14ac:dyDescent="0.25">
      <c r="A4" s="263" t="s">
        <v>0</v>
      </c>
      <c r="B4" s="264" t="s">
        <v>399</v>
      </c>
      <c r="C4" s="264" t="s">
        <v>404</v>
      </c>
      <c r="D4" s="264" t="s">
        <v>115</v>
      </c>
    </row>
    <row r="5" spans="1:4" ht="15.75" x14ac:dyDescent="0.25">
      <c r="A5" s="248" t="s">
        <v>15</v>
      </c>
      <c r="B5" s="69">
        <v>2</v>
      </c>
      <c r="C5" s="249">
        <v>3</v>
      </c>
      <c r="D5" s="249">
        <v>6</v>
      </c>
    </row>
    <row r="6" spans="1:4" ht="15.75" x14ac:dyDescent="0.25">
      <c r="A6" s="250" t="s">
        <v>400</v>
      </c>
      <c r="B6" s="86"/>
      <c r="C6" s="251">
        <f>SUM(C7:C8)</f>
        <v>167426.14000000001</v>
      </c>
      <c r="D6" s="251">
        <f>SUM(D7:D8)</f>
        <v>258630</v>
      </c>
    </row>
    <row r="7" spans="1:4" ht="15.75" x14ac:dyDescent="0.25">
      <c r="A7" s="248" t="s">
        <v>15</v>
      </c>
      <c r="B7" s="252" t="s">
        <v>401</v>
      </c>
      <c r="C7" s="253">
        <v>0</v>
      </c>
      <c r="D7" s="253">
        <v>91440</v>
      </c>
    </row>
    <row r="8" spans="1:4" ht="15.75" x14ac:dyDescent="0.25">
      <c r="A8" s="248" t="s">
        <v>16</v>
      </c>
      <c r="B8" s="100" t="s">
        <v>45</v>
      </c>
      <c r="C8" s="251">
        <v>167426.14000000001</v>
      </c>
      <c r="D8" s="251">
        <v>167190</v>
      </c>
    </row>
    <row r="9" spans="1:4" ht="15.75" x14ac:dyDescent="0.25">
      <c r="A9" s="254" t="s">
        <v>405</v>
      </c>
      <c r="B9" s="255"/>
      <c r="C9" s="256">
        <f>SUM(C10:C11)</f>
        <v>2</v>
      </c>
      <c r="D9" s="256">
        <f>SUM(D10:D11)</f>
        <v>3</v>
      </c>
    </row>
    <row r="10" spans="1:4" ht="15.75" x14ac:dyDescent="0.25">
      <c r="A10" s="248" t="s">
        <v>15</v>
      </c>
      <c r="B10" s="252" t="s">
        <v>401</v>
      </c>
      <c r="C10" s="257">
        <v>0</v>
      </c>
      <c r="D10" s="257">
        <v>1</v>
      </c>
    </row>
    <row r="11" spans="1:4" ht="15.75" x14ac:dyDescent="0.25">
      <c r="A11" s="248" t="s">
        <v>16</v>
      </c>
      <c r="B11" s="100" t="s">
        <v>45</v>
      </c>
      <c r="C11" s="88">
        <v>2</v>
      </c>
      <c r="D11" s="257">
        <v>2</v>
      </c>
    </row>
    <row r="12" spans="1:4" ht="15.75" x14ac:dyDescent="0.25">
      <c r="A12" s="255" t="s">
        <v>402</v>
      </c>
      <c r="B12" s="46"/>
      <c r="C12" s="258">
        <f>C6/12</f>
        <v>13952.178333333335</v>
      </c>
      <c r="D12" s="258">
        <f>D6/12</f>
        <v>21552.5</v>
      </c>
    </row>
    <row r="13" spans="1:4" ht="15.75" x14ac:dyDescent="0.25">
      <c r="A13" s="248" t="s">
        <v>15</v>
      </c>
      <c r="B13" s="252" t="s">
        <v>401</v>
      </c>
      <c r="C13" s="253">
        <v>0</v>
      </c>
      <c r="D13" s="253">
        <f>D7/12</f>
        <v>7620</v>
      </c>
    </row>
    <row r="14" spans="1:4" ht="15.75" x14ac:dyDescent="0.25">
      <c r="A14" s="248" t="s">
        <v>16</v>
      </c>
      <c r="B14" s="100" t="s">
        <v>45</v>
      </c>
      <c r="C14" s="253">
        <f>C8/12</f>
        <v>13952.178333333335</v>
      </c>
      <c r="D14" s="253">
        <f>D8/12</f>
        <v>13932.5</v>
      </c>
    </row>
    <row r="15" spans="1:4" ht="15.75" x14ac:dyDescent="0.25">
      <c r="A15" s="62"/>
      <c r="B15" s="62"/>
      <c r="C15" s="259"/>
      <c r="D15" s="260"/>
    </row>
    <row r="16" spans="1:4" ht="15.75" x14ac:dyDescent="0.25">
      <c r="A16" s="62"/>
      <c r="B16" s="62"/>
      <c r="C16" s="259"/>
      <c r="D16" s="260"/>
    </row>
    <row r="17" spans="1:4" ht="15.75" x14ac:dyDescent="0.25">
      <c r="A17" s="62"/>
      <c r="B17" s="62"/>
      <c r="C17" s="259"/>
      <c r="D17" s="260"/>
    </row>
    <row r="18" spans="1:4" ht="15.75" x14ac:dyDescent="0.25">
      <c r="A18" s="62"/>
      <c r="B18" s="62"/>
      <c r="C18" s="259"/>
      <c r="D18" s="260"/>
    </row>
    <row r="19" spans="1:4" ht="15.75" x14ac:dyDescent="0.25">
      <c r="A19" s="62"/>
      <c r="B19" s="62"/>
      <c r="C19" s="259"/>
      <c r="D19" s="260"/>
    </row>
    <row r="20" spans="1:4" ht="15.75" x14ac:dyDescent="0.25">
      <c r="A20" s="62"/>
      <c r="B20" s="62"/>
      <c r="C20" s="259"/>
      <c r="D20" s="260"/>
    </row>
    <row r="21" spans="1:4" ht="15.75" x14ac:dyDescent="0.25">
      <c r="A21" s="62"/>
      <c r="B21" s="62"/>
      <c r="C21" s="259"/>
      <c r="D21" s="260"/>
    </row>
    <row r="22" spans="1:4" ht="31.5" x14ac:dyDescent="0.25">
      <c r="A22" s="261"/>
      <c r="B22" s="297" t="s">
        <v>205</v>
      </c>
      <c r="C22" s="246" t="s">
        <v>403</v>
      </c>
      <c r="D22" s="246" t="s">
        <v>206</v>
      </c>
    </row>
    <row r="23" spans="1:4" ht="15.75" x14ac:dyDescent="0.25">
      <c r="A23" s="155"/>
      <c r="B23" s="297"/>
      <c r="C23" s="128" t="s">
        <v>158</v>
      </c>
      <c r="D23" s="128" t="s">
        <v>159</v>
      </c>
    </row>
    <row r="24" spans="1:4" ht="15.75" x14ac:dyDescent="0.25">
      <c r="A24" s="82"/>
      <c r="B24" s="64"/>
      <c r="C24" s="262" t="s">
        <v>160</v>
      </c>
      <c r="D24" s="46"/>
    </row>
  </sheetData>
  <mergeCells count="3">
    <mergeCell ref="A1:D1"/>
    <mergeCell ref="A2:D2"/>
    <mergeCell ref="B22:B23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E53"/>
  <sheetViews>
    <sheetView topLeftCell="A4" workbookViewId="0">
      <selection activeCell="G52" sqref="G52"/>
    </sheetView>
  </sheetViews>
  <sheetFormatPr defaultRowHeight="15" x14ac:dyDescent="0.25"/>
  <cols>
    <col min="1" max="1" width="7.85546875" customWidth="1"/>
    <col min="2" max="2" width="55.7109375" customWidth="1"/>
    <col min="3" max="3" width="17" customWidth="1"/>
    <col min="4" max="4" width="16.7109375" customWidth="1"/>
    <col min="5" max="5" width="28.28515625" customWidth="1"/>
  </cols>
  <sheetData>
    <row r="1" spans="1:5" ht="15.75" x14ac:dyDescent="0.25">
      <c r="A1" s="342" t="s">
        <v>376</v>
      </c>
      <c r="B1" s="342"/>
      <c r="C1" s="342"/>
      <c r="D1" s="342"/>
      <c r="E1" s="342"/>
    </row>
    <row r="2" spans="1:5" ht="15.75" x14ac:dyDescent="0.25">
      <c r="A2" s="62"/>
      <c r="B2" s="62"/>
      <c r="C2" s="109"/>
      <c r="D2" s="62"/>
      <c r="E2" s="62"/>
    </row>
    <row r="3" spans="1:5" ht="15.75" x14ac:dyDescent="0.25">
      <c r="A3" s="62"/>
      <c r="B3" s="62"/>
      <c r="C3" s="62"/>
      <c r="D3" s="62"/>
      <c r="E3" s="62"/>
    </row>
    <row r="4" spans="1:5" ht="16.5" thickBot="1" x14ac:dyDescent="0.3">
      <c r="A4" s="62"/>
      <c r="B4" s="62"/>
      <c r="C4" s="62"/>
      <c r="D4" s="62"/>
      <c r="E4" s="83" t="s">
        <v>411</v>
      </c>
    </row>
    <row r="5" spans="1:5" ht="15.75" x14ac:dyDescent="0.25">
      <c r="A5" s="101" t="s">
        <v>172</v>
      </c>
      <c r="B5" s="103" t="s">
        <v>1</v>
      </c>
      <c r="C5" s="104" t="s">
        <v>43</v>
      </c>
      <c r="D5" s="104" t="s">
        <v>44</v>
      </c>
      <c r="E5" s="105" t="s">
        <v>48</v>
      </c>
    </row>
    <row r="6" spans="1:5" ht="15.75" x14ac:dyDescent="0.25">
      <c r="A6" s="95">
        <v>1</v>
      </c>
      <c r="B6" s="92">
        <v>2</v>
      </c>
      <c r="C6" s="99">
        <v>3</v>
      </c>
      <c r="D6" s="99">
        <v>4</v>
      </c>
      <c r="E6" s="106">
        <v>5</v>
      </c>
    </row>
    <row r="7" spans="1:5" ht="15.75" x14ac:dyDescent="0.25">
      <c r="A7" s="110" t="s">
        <v>230</v>
      </c>
      <c r="B7" s="93" t="s">
        <v>49</v>
      </c>
      <c r="C7" s="119">
        <f>C8+C9+C10+C11+C12+C13+C14+C15+C16+C26+C33+C37+C38+C39+C40++C45</f>
        <v>231031.21000000002</v>
      </c>
      <c r="D7" s="119">
        <f>D8+D9+D10+D11+D12+D13+D14+D15+D16+D26+D33+D37+D38+D39+D40++D45</f>
        <v>232135.52</v>
      </c>
      <c r="E7" s="107"/>
    </row>
    <row r="8" spans="1:5" ht="47.25" x14ac:dyDescent="0.25">
      <c r="A8" s="111" t="s">
        <v>227</v>
      </c>
      <c r="B8" s="115" t="s">
        <v>50</v>
      </c>
      <c r="C8" s="119">
        <v>167426.14000000001</v>
      </c>
      <c r="D8" s="119">
        <v>167190</v>
      </c>
      <c r="E8" s="122" t="s">
        <v>412</v>
      </c>
    </row>
    <row r="9" spans="1:5" ht="31.5" x14ac:dyDescent="0.25">
      <c r="A9" s="111" t="s">
        <v>228</v>
      </c>
      <c r="B9" s="115" t="s">
        <v>51</v>
      </c>
      <c r="C9" s="119">
        <v>42229.440000000002</v>
      </c>
      <c r="D9" s="119">
        <f>D8*22%+5843.64</f>
        <v>42625.440000000002</v>
      </c>
      <c r="E9" s="122" t="s">
        <v>276</v>
      </c>
    </row>
    <row r="10" spans="1:5" ht="31.5" x14ac:dyDescent="0.25">
      <c r="A10" s="111" t="s">
        <v>235</v>
      </c>
      <c r="B10" s="115" t="s">
        <v>52</v>
      </c>
      <c r="C10" s="119">
        <v>1120</v>
      </c>
      <c r="D10" s="119">
        <v>1000</v>
      </c>
      <c r="E10" s="122" t="s">
        <v>276</v>
      </c>
    </row>
    <row r="11" spans="1:5" ht="15.75" x14ac:dyDescent="0.25">
      <c r="A11" s="111" t="s">
        <v>236</v>
      </c>
      <c r="B11" s="115" t="s">
        <v>53</v>
      </c>
      <c r="C11" s="119">
        <v>0</v>
      </c>
      <c r="D11" s="119">
        <v>0</v>
      </c>
      <c r="E11" s="122"/>
    </row>
    <row r="12" spans="1:5" ht="31.5" x14ac:dyDescent="0.25">
      <c r="A12" s="111" t="s">
        <v>237</v>
      </c>
      <c r="B12" s="115" t="s">
        <v>54</v>
      </c>
      <c r="C12" s="119">
        <v>0</v>
      </c>
      <c r="D12" s="119">
        <v>0</v>
      </c>
      <c r="E12" s="122"/>
    </row>
    <row r="13" spans="1:5" ht="15.75" x14ac:dyDescent="0.25">
      <c r="A13" s="111" t="s">
        <v>238</v>
      </c>
      <c r="B13" s="115" t="s">
        <v>55</v>
      </c>
      <c r="C13" s="119">
        <v>2413</v>
      </c>
      <c r="D13" s="119">
        <v>3000</v>
      </c>
      <c r="E13" s="122" t="s">
        <v>276</v>
      </c>
    </row>
    <row r="14" spans="1:5" ht="31.5" x14ac:dyDescent="0.25">
      <c r="A14" s="111" t="s">
        <v>239</v>
      </c>
      <c r="B14" s="115" t="s">
        <v>56</v>
      </c>
      <c r="C14" s="119">
        <v>0</v>
      </c>
      <c r="D14" s="119">
        <v>0</v>
      </c>
      <c r="E14" s="122"/>
    </row>
    <row r="15" spans="1:5" ht="63" x14ac:dyDescent="0.25">
      <c r="A15" s="111" t="s">
        <v>240</v>
      </c>
      <c r="B15" s="115" t="s">
        <v>57</v>
      </c>
      <c r="C15" s="119">
        <v>3666.74</v>
      </c>
      <c r="D15" s="119">
        <v>4000.08</v>
      </c>
      <c r="E15" s="122" t="s">
        <v>416</v>
      </c>
    </row>
    <row r="16" spans="1:5" ht="47.25" x14ac:dyDescent="0.25">
      <c r="A16" s="111" t="s">
        <v>241</v>
      </c>
      <c r="B16" s="115" t="s">
        <v>58</v>
      </c>
      <c r="C16" s="119">
        <f>C17+C18+C19+C20+C21+C22+C23+C24+C25</f>
        <v>0</v>
      </c>
      <c r="D16" s="119">
        <f>D17+D18+D19+D20+D21+D22+D23+D24+D25</f>
        <v>0</v>
      </c>
      <c r="E16" s="122"/>
    </row>
    <row r="17" spans="1:5" ht="15.75" x14ac:dyDescent="0.25">
      <c r="A17" s="112" t="s">
        <v>242</v>
      </c>
      <c r="B17" s="116" t="s">
        <v>59</v>
      </c>
      <c r="C17" s="120">
        <v>0</v>
      </c>
      <c r="D17" s="120">
        <v>0</v>
      </c>
      <c r="E17" s="122"/>
    </row>
    <row r="18" spans="1:5" ht="15.75" x14ac:dyDescent="0.25">
      <c r="A18" s="112" t="s">
        <v>243</v>
      </c>
      <c r="B18" s="117" t="s">
        <v>60</v>
      </c>
      <c r="C18" s="120">
        <v>0</v>
      </c>
      <c r="D18" s="120">
        <v>0</v>
      </c>
      <c r="E18" s="122"/>
    </row>
    <row r="19" spans="1:5" ht="15.75" x14ac:dyDescent="0.25">
      <c r="A19" s="112" t="s">
        <v>244</v>
      </c>
      <c r="B19" s="117" t="s">
        <v>61</v>
      </c>
      <c r="C19" s="120">
        <v>0</v>
      </c>
      <c r="D19" s="120">
        <v>0</v>
      </c>
      <c r="E19" s="122"/>
    </row>
    <row r="20" spans="1:5" ht="15.75" x14ac:dyDescent="0.25">
      <c r="A20" s="112" t="s">
        <v>245</v>
      </c>
      <c r="B20" s="117" t="s">
        <v>62</v>
      </c>
      <c r="C20" s="120">
        <v>0</v>
      </c>
      <c r="D20" s="120">
        <v>0</v>
      </c>
      <c r="E20" s="122"/>
    </row>
    <row r="21" spans="1:5" ht="15.75" x14ac:dyDescent="0.25">
      <c r="A21" s="112" t="s">
        <v>246</v>
      </c>
      <c r="B21" s="117" t="s">
        <v>63</v>
      </c>
      <c r="C21" s="120">
        <v>0</v>
      </c>
      <c r="D21" s="120">
        <v>0</v>
      </c>
      <c r="E21" s="122"/>
    </row>
    <row r="22" spans="1:5" ht="15.75" x14ac:dyDescent="0.25">
      <c r="A22" s="112" t="s">
        <v>247</v>
      </c>
      <c r="B22" s="117" t="s">
        <v>64</v>
      </c>
      <c r="C22" s="120">
        <v>0</v>
      </c>
      <c r="D22" s="120">
        <v>0</v>
      </c>
      <c r="E22" s="122"/>
    </row>
    <row r="23" spans="1:5" ht="15.75" x14ac:dyDescent="0.25">
      <c r="A23" s="112" t="s">
        <v>248</v>
      </c>
      <c r="B23" s="117" t="s">
        <v>65</v>
      </c>
      <c r="C23" s="120">
        <v>0</v>
      </c>
      <c r="D23" s="120">
        <v>0</v>
      </c>
      <c r="E23" s="122"/>
    </row>
    <row r="24" spans="1:5" ht="15.75" x14ac:dyDescent="0.25">
      <c r="A24" s="112" t="s">
        <v>249</v>
      </c>
      <c r="B24" s="117" t="s">
        <v>66</v>
      </c>
      <c r="C24" s="120">
        <v>0</v>
      </c>
      <c r="D24" s="120">
        <v>0</v>
      </c>
      <c r="E24" s="122"/>
    </row>
    <row r="25" spans="1:5" ht="15.75" x14ac:dyDescent="0.25">
      <c r="A25" s="112" t="s">
        <v>251</v>
      </c>
      <c r="B25" s="117" t="s">
        <v>67</v>
      </c>
      <c r="C25" s="120">
        <v>0</v>
      </c>
      <c r="D25" s="120">
        <v>0</v>
      </c>
      <c r="E25" s="122"/>
    </row>
    <row r="26" spans="1:5" ht="15.75" x14ac:dyDescent="0.25">
      <c r="A26" s="111" t="s">
        <v>250</v>
      </c>
      <c r="B26" s="115" t="s">
        <v>68</v>
      </c>
      <c r="C26" s="119">
        <f>C27+C28+C29+C30+C31+C32+C33+C34+C35+C36</f>
        <v>0</v>
      </c>
      <c r="D26" s="119">
        <f>D27+D28+D29+D30+D31+D32+D33+D34+D35+D36</f>
        <v>0</v>
      </c>
      <c r="E26" s="122"/>
    </row>
    <row r="27" spans="1:5" ht="15.75" x14ac:dyDescent="0.25">
      <c r="A27" s="113" t="s">
        <v>252</v>
      </c>
      <c r="B27" s="117" t="s">
        <v>69</v>
      </c>
      <c r="C27" s="120">
        <v>0</v>
      </c>
      <c r="D27" s="120">
        <v>0</v>
      </c>
      <c r="E27" s="122"/>
    </row>
    <row r="28" spans="1:5" ht="15.75" x14ac:dyDescent="0.25">
      <c r="A28" s="112" t="s">
        <v>253</v>
      </c>
      <c r="B28" s="117" t="s">
        <v>70</v>
      </c>
      <c r="C28" s="120">
        <v>0</v>
      </c>
      <c r="D28" s="120">
        <v>0</v>
      </c>
      <c r="E28" s="122"/>
    </row>
    <row r="29" spans="1:5" ht="15.75" x14ac:dyDescent="0.25">
      <c r="A29" s="112" t="s">
        <v>254</v>
      </c>
      <c r="B29" s="117" t="s">
        <v>71</v>
      </c>
      <c r="C29" s="120">
        <v>0</v>
      </c>
      <c r="D29" s="120">
        <v>0</v>
      </c>
      <c r="E29" s="122"/>
    </row>
    <row r="30" spans="1:5" ht="15.75" x14ac:dyDescent="0.25">
      <c r="A30" s="112" t="s">
        <v>255</v>
      </c>
      <c r="B30" s="116" t="s">
        <v>72</v>
      </c>
      <c r="C30" s="120">
        <v>0</v>
      </c>
      <c r="D30" s="120">
        <v>0</v>
      </c>
      <c r="E30" s="122"/>
    </row>
    <row r="31" spans="1:5" ht="15.75" x14ac:dyDescent="0.25">
      <c r="A31" s="112" t="s">
        <v>256</v>
      </c>
      <c r="B31" s="117" t="s">
        <v>73</v>
      </c>
      <c r="C31" s="120">
        <v>0</v>
      </c>
      <c r="D31" s="120">
        <v>0</v>
      </c>
      <c r="E31" s="122"/>
    </row>
    <row r="32" spans="1:5" ht="15.75" x14ac:dyDescent="0.25">
      <c r="A32" s="112" t="s">
        <v>257</v>
      </c>
      <c r="B32" s="117" t="s">
        <v>74</v>
      </c>
      <c r="C32" s="120">
        <v>0</v>
      </c>
      <c r="D32" s="120">
        <v>0</v>
      </c>
      <c r="E32" s="122"/>
    </row>
    <row r="33" spans="1:5" ht="15.75" x14ac:dyDescent="0.25">
      <c r="A33" s="111" t="s">
        <v>258</v>
      </c>
      <c r="B33" s="115" t="s">
        <v>75</v>
      </c>
      <c r="C33" s="120">
        <v>0</v>
      </c>
      <c r="D33" s="120">
        <v>0</v>
      </c>
      <c r="E33" s="122"/>
    </row>
    <row r="34" spans="1:5" ht="15.75" x14ac:dyDescent="0.25">
      <c r="A34" s="112" t="s">
        <v>259</v>
      </c>
      <c r="B34" s="117" t="s">
        <v>374</v>
      </c>
      <c r="C34" s="120">
        <v>0</v>
      </c>
      <c r="D34" s="120">
        <v>0</v>
      </c>
      <c r="E34" s="122"/>
    </row>
    <row r="35" spans="1:5" ht="15.75" x14ac:dyDescent="0.25">
      <c r="A35" s="112" t="s">
        <v>260</v>
      </c>
      <c r="B35" s="117" t="s">
        <v>76</v>
      </c>
      <c r="C35" s="120">
        <v>0</v>
      </c>
      <c r="D35" s="120">
        <v>0</v>
      </c>
      <c r="E35" s="122"/>
    </row>
    <row r="36" spans="1:5" ht="15.75" x14ac:dyDescent="0.25">
      <c r="A36" s="112" t="s">
        <v>261</v>
      </c>
      <c r="B36" s="117" t="s">
        <v>77</v>
      </c>
      <c r="C36" s="120">
        <v>0</v>
      </c>
      <c r="D36" s="120">
        <v>0</v>
      </c>
      <c r="E36" s="122"/>
    </row>
    <row r="37" spans="1:5" ht="31.5" x14ac:dyDescent="0.25">
      <c r="A37" s="111" t="s">
        <v>262</v>
      </c>
      <c r="B37" s="115" t="s">
        <v>78</v>
      </c>
      <c r="C37" s="119">
        <v>5851.89</v>
      </c>
      <c r="D37" s="119">
        <v>6500</v>
      </c>
      <c r="E37" s="122" t="s">
        <v>276</v>
      </c>
    </row>
    <row r="38" spans="1:5" ht="31.5" x14ac:dyDescent="0.25">
      <c r="A38" s="111" t="s">
        <v>263</v>
      </c>
      <c r="B38" s="115" t="s">
        <v>79</v>
      </c>
      <c r="C38" s="119">
        <v>0</v>
      </c>
      <c r="D38" s="119">
        <v>0</v>
      </c>
      <c r="E38" s="122"/>
    </row>
    <row r="39" spans="1:5" ht="15.75" x14ac:dyDescent="0.25">
      <c r="A39" s="111" t="s">
        <v>264</v>
      </c>
      <c r="B39" s="115" t="s">
        <v>92</v>
      </c>
      <c r="C39" s="119">
        <v>690</v>
      </c>
      <c r="D39" s="119">
        <v>600</v>
      </c>
      <c r="E39" s="122" t="s">
        <v>276</v>
      </c>
    </row>
    <row r="40" spans="1:5" ht="47.25" x14ac:dyDescent="0.25">
      <c r="A40" s="111" t="s">
        <v>265</v>
      </c>
      <c r="B40" s="115" t="s">
        <v>80</v>
      </c>
      <c r="C40" s="119">
        <f>C41+C42+C43+C44</f>
        <v>5414</v>
      </c>
      <c r="D40" s="119">
        <f>D41+D42+D43+D44</f>
        <v>5000</v>
      </c>
      <c r="E40" s="122" t="s">
        <v>276</v>
      </c>
    </row>
    <row r="41" spans="1:5" ht="15.75" x14ac:dyDescent="0.25">
      <c r="A41" s="111" t="s">
        <v>266</v>
      </c>
      <c r="B41" s="117" t="s">
        <v>81</v>
      </c>
      <c r="C41" s="120">
        <v>5414</v>
      </c>
      <c r="D41" s="120">
        <v>5000</v>
      </c>
      <c r="E41" s="122" t="s">
        <v>276</v>
      </c>
    </row>
    <row r="42" spans="1:5" ht="15.75" x14ac:dyDescent="0.25">
      <c r="A42" s="111" t="s">
        <v>267</v>
      </c>
      <c r="B42" s="117" t="s">
        <v>82</v>
      </c>
      <c r="C42" s="120">
        <v>0</v>
      </c>
      <c r="D42" s="120">
        <v>0</v>
      </c>
      <c r="E42" s="122"/>
    </row>
    <row r="43" spans="1:5" ht="15.75" x14ac:dyDescent="0.25">
      <c r="A43" s="111" t="s">
        <v>268</v>
      </c>
      <c r="B43" s="117" t="s">
        <v>83</v>
      </c>
      <c r="C43" s="120">
        <v>0</v>
      </c>
      <c r="D43" s="120">
        <v>0</v>
      </c>
      <c r="E43" s="122"/>
    </row>
    <row r="44" spans="1:5" ht="15.75" x14ac:dyDescent="0.25">
      <c r="A44" s="112" t="s">
        <v>269</v>
      </c>
      <c r="B44" s="117" t="s">
        <v>84</v>
      </c>
      <c r="C44" s="120">
        <v>0</v>
      </c>
      <c r="D44" s="120">
        <v>0</v>
      </c>
      <c r="E44" s="122"/>
    </row>
    <row r="45" spans="1:5" ht="15.75" x14ac:dyDescent="0.25">
      <c r="A45" s="111" t="s">
        <v>270</v>
      </c>
      <c r="B45" s="115" t="s">
        <v>85</v>
      </c>
      <c r="C45" s="119">
        <f>C46+C47+C48</f>
        <v>2220</v>
      </c>
      <c r="D45" s="119">
        <f>D46+D47+D48</f>
        <v>2220</v>
      </c>
      <c r="E45" s="122" t="s">
        <v>276</v>
      </c>
    </row>
    <row r="46" spans="1:5" ht="15.75" x14ac:dyDescent="0.25">
      <c r="A46" s="112" t="s">
        <v>271</v>
      </c>
      <c r="B46" s="117" t="s">
        <v>86</v>
      </c>
      <c r="C46" s="120">
        <v>0</v>
      </c>
      <c r="D46" s="120">
        <v>0</v>
      </c>
      <c r="E46" s="122"/>
    </row>
    <row r="47" spans="1:5" ht="15.75" x14ac:dyDescent="0.25">
      <c r="A47" s="112" t="s">
        <v>272</v>
      </c>
      <c r="B47" s="117" t="s">
        <v>407</v>
      </c>
      <c r="C47" s="120">
        <v>1920</v>
      </c>
      <c r="D47" s="120">
        <v>1920</v>
      </c>
      <c r="E47" s="122" t="s">
        <v>277</v>
      </c>
    </row>
    <row r="48" spans="1:5" ht="16.5" thickBot="1" x14ac:dyDescent="0.3">
      <c r="A48" s="114" t="s">
        <v>273</v>
      </c>
      <c r="B48" s="118" t="s">
        <v>87</v>
      </c>
      <c r="C48" s="121">
        <v>300</v>
      </c>
      <c r="D48" s="121">
        <v>300</v>
      </c>
      <c r="E48" s="123" t="s">
        <v>276</v>
      </c>
    </row>
    <row r="49" spans="1:5" ht="96.6" customHeight="1" x14ac:dyDescent="0.25">
      <c r="A49" s="62"/>
      <c r="B49" s="62"/>
      <c r="C49" s="62"/>
      <c r="D49" s="62"/>
      <c r="E49" s="62"/>
    </row>
    <row r="50" spans="1:5" ht="15.75" x14ac:dyDescent="0.25">
      <c r="A50" s="62"/>
      <c r="B50" s="62"/>
      <c r="C50" s="62"/>
      <c r="D50" s="62"/>
      <c r="E50" s="62"/>
    </row>
    <row r="51" spans="1:5" ht="15.75" x14ac:dyDescent="0.25">
      <c r="A51" s="62"/>
      <c r="B51" s="297" t="s">
        <v>205</v>
      </c>
      <c r="C51" s="298" t="s">
        <v>206</v>
      </c>
      <c r="D51" s="298"/>
      <c r="E51" s="298"/>
    </row>
    <row r="52" spans="1:5" ht="15.75" x14ac:dyDescent="0.25">
      <c r="A52" s="62"/>
      <c r="B52" s="297"/>
      <c r="C52" s="63" t="s">
        <v>158</v>
      </c>
      <c r="D52" s="298" t="s">
        <v>159</v>
      </c>
      <c r="E52" s="298"/>
    </row>
    <row r="53" spans="1:5" ht="15.75" x14ac:dyDescent="0.25">
      <c r="A53" s="62"/>
      <c r="B53" s="64"/>
      <c r="C53" s="14" t="s">
        <v>160</v>
      </c>
      <c r="D53" s="62"/>
      <c r="E53" s="62"/>
    </row>
  </sheetData>
  <mergeCells count="4">
    <mergeCell ref="A1:E1"/>
    <mergeCell ref="B51:B52"/>
    <mergeCell ref="C51:E51"/>
    <mergeCell ref="D52:E52"/>
  </mergeCells>
  <phoneticPr fontId="10" type="noConversion"/>
  <pageMargins left="0.31496062992125984" right="0.31496062992125984" top="0.74803149606299213" bottom="0.74803149606299213" header="0.31496062992125984" footer="0.31496062992125984"/>
  <pageSetup paperSize="9" scale="66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E24"/>
  <sheetViews>
    <sheetView topLeftCell="A7" workbookViewId="0">
      <selection activeCell="K10" sqref="K10"/>
    </sheetView>
  </sheetViews>
  <sheetFormatPr defaultRowHeight="15" x14ac:dyDescent="0.25"/>
  <cols>
    <col min="1" max="1" width="6.7109375" customWidth="1"/>
    <col min="2" max="2" width="51" customWidth="1"/>
    <col min="3" max="3" width="17.7109375" customWidth="1"/>
    <col min="4" max="4" width="20.85546875" customWidth="1"/>
    <col min="5" max="5" width="28.42578125" customWidth="1"/>
  </cols>
  <sheetData>
    <row r="1" spans="1:5" ht="15.75" x14ac:dyDescent="0.25">
      <c r="A1" s="342" t="s">
        <v>90</v>
      </c>
      <c r="B1" s="342"/>
      <c r="C1" s="342"/>
      <c r="D1" s="342"/>
      <c r="E1" s="342"/>
    </row>
    <row r="2" spans="1:5" ht="15.75" x14ac:dyDescent="0.25">
      <c r="A2" s="62"/>
      <c r="B2" s="62"/>
      <c r="C2" s="62"/>
      <c r="D2" s="62"/>
      <c r="E2" s="62"/>
    </row>
    <row r="3" spans="1:5" ht="16.5" thickBot="1" x14ac:dyDescent="0.3">
      <c r="A3" s="62"/>
      <c r="B3" s="62"/>
      <c r="C3" s="62"/>
      <c r="D3" s="62"/>
      <c r="E3" s="83" t="s">
        <v>413</v>
      </c>
    </row>
    <row r="4" spans="1:5" ht="15.75" x14ac:dyDescent="0.25">
      <c r="A4" s="101" t="s">
        <v>172</v>
      </c>
      <c r="B4" s="103" t="s">
        <v>1</v>
      </c>
      <c r="C4" s="104" t="s">
        <v>43</v>
      </c>
      <c r="D4" s="104" t="s">
        <v>44</v>
      </c>
      <c r="E4" s="105" t="s">
        <v>48</v>
      </c>
    </row>
    <row r="5" spans="1:5" ht="15.75" x14ac:dyDescent="0.25">
      <c r="A5" s="95">
        <v>1</v>
      </c>
      <c r="B5" s="92">
        <v>2</v>
      </c>
      <c r="C5" s="99">
        <v>3</v>
      </c>
      <c r="D5" s="99">
        <v>4</v>
      </c>
      <c r="E5" s="106">
        <v>5</v>
      </c>
    </row>
    <row r="6" spans="1:5" ht="15.75" x14ac:dyDescent="0.25">
      <c r="A6" s="90" t="s">
        <v>230</v>
      </c>
      <c r="B6" s="124" t="s">
        <v>91</v>
      </c>
      <c r="C6" s="119">
        <f>C7+C11+C12+C13+C16</f>
        <v>389712.85000000003</v>
      </c>
      <c r="D6" s="119">
        <f>D7+D11+D12+D13+D16</f>
        <v>586565.02150000003</v>
      </c>
      <c r="E6" s="235"/>
    </row>
    <row r="7" spans="1:5" ht="15.75" x14ac:dyDescent="0.25">
      <c r="A7" s="90" t="s">
        <v>227</v>
      </c>
      <c r="B7" s="124" t="s">
        <v>93</v>
      </c>
      <c r="C7" s="119">
        <f>C8+C9+C10</f>
        <v>295181.89</v>
      </c>
      <c r="D7" s="119">
        <f>D8+D9+D10</f>
        <v>405780.8</v>
      </c>
      <c r="E7" s="235"/>
    </row>
    <row r="8" spans="1:5" ht="15.75" x14ac:dyDescent="0.25">
      <c r="A8" s="91" t="s">
        <v>278</v>
      </c>
      <c r="B8" s="125" t="s">
        <v>94</v>
      </c>
      <c r="C8" s="120">
        <v>247071.45</v>
      </c>
      <c r="D8" s="127">
        <f>Електроенергія!E7</f>
        <v>338000</v>
      </c>
      <c r="E8" s="235" t="s">
        <v>276</v>
      </c>
    </row>
    <row r="9" spans="1:5" ht="15.75" x14ac:dyDescent="0.25">
      <c r="A9" s="91" t="s">
        <v>279</v>
      </c>
      <c r="B9" s="125" t="s">
        <v>95</v>
      </c>
      <c r="C9" s="120">
        <v>10780.8</v>
      </c>
      <c r="D9" s="120">
        <v>10780.8</v>
      </c>
      <c r="E9" s="235" t="s">
        <v>277</v>
      </c>
    </row>
    <row r="10" spans="1:5" ht="31.5" x14ac:dyDescent="0.25">
      <c r="A10" s="91" t="s">
        <v>280</v>
      </c>
      <c r="B10" s="125" t="s">
        <v>96</v>
      </c>
      <c r="C10" s="120">
        <f>12910+3747.9+10899.87+878+378+2000.8+4049.11+474.19+1991.77</f>
        <v>37329.64</v>
      </c>
      <c r="D10" s="120">
        <v>57000</v>
      </c>
      <c r="E10" s="235" t="s">
        <v>276</v>
      </c>
    </row>
    <row r="11" spans="1:5" ht="15.75" x14ac:dyDescent="0.25">
      <c r="A11" s="90" t="s">
        <v>228</v>
      </c>
      <c r="B11" s="124" t="s">
        <v>97</v>
      </c>
      <c r="C11" s="119">
        <f>15750+40000</f>
        <v>55750</v>
      </c>
      <c r="D11" s="127">
        <v>20000</v>
      </c>
      <c r="E11" s="235" t="s">
        <v>285</v>
      </c>
    </row>
    <row r="12" spans="1:5" ht="31.5" x14ac:dyDescent="0.25">
      <c r="A12" s="90" t="s">
        <v>235</v>
      </c>
      <c r="B12" s="124" t="s">
        <v>409</v>
      </c>
      <c r="C12" s="119">
        <v>0</v>
      </c>
      <c r="D12" s="119">
        <v>91440</v>
      </c>
      <c r="E12" s="235" t="s">
        <v>275</v>
      </c>
    </row>
    <row r="13" spans="1:5" ht="15.75" x14ac:dyDescent="0.25">
      <c r="A13" s="90" t="s">
        <v>236</v>
      </c>
      <c r="B13" s="115" t="s">
        <v>100</v>
      </c>
      <c r="C13" s="119">
        <f>C14+C15</f>
        <v>36764.44</v>
      </c>
      <c r="D13" s="119">
        <f>D14+D15</f>
        <v>38630</v>
      </c>
      <c r="E13" s="235"/>
    </row>
    <row r="14" spans="1:5" ht="15.75" x14ac:dyDescent="0.25">
      <c r="A14" s="91" t="s">
        <v>281</v>
      </c>
      <c r="B14" s="117" t="s">
        <v>101</v>
      </c>
      <c r="C14" s="120">
        <v>2123.08</v>
      </c>
      <c r="D14" s="120">
        <v>2660</v>
      </c>
      <c r="E14" s="235" t="s">
        <v>276</v>
      </c>
    </row>
    <row r="15" spans="1:5" ht="15.75" x14ac:dyDescent="0.25">
      <c r="A15" s="91" t="s">
        <v>282</v>
      </c>
      <c r="B15" s="117" t="s">
        <v>102</v>
      </c>
      <c r="C15" s="120">
        <v>34641.360000000001</v>
      </c>
      <c r="D15" s="120">
        <v>35970</v>
      </c>
      <c r="E15" s="235" t="s">
        <v>276</v>
      </c>
    </row>
    <row r="16" spans="1:5" ht="15.75" x14ac:dyDescent="0.25">
      <c r="A16" s="90" t="s">
        <v>237</v>
      </c>
      <c r="B16" s="124" t="s">
        <v>99</v>
      </c>
      <c r="C16" s="119">
        <f>C17+C18</f>
        <v>2016.52</v>
      </c>
      <c r="D16" s="119">
        <f>D17+D18</f>
        <v>30714.2215</v>
      </c>
      <c r="E16" s="235"/>
    </row>
    <row r="17" spans="1:5" ht="31.5" x14ac:dyDescent="0.25">
      <c r="A17" s="91" t="s">
        <v>284</v>
      </c>
      <c r="B17" s="125" t="s">
        <v>375</v>
      </c>
      <c r="C17" s="120">
        <v>0</v>
      </c>
      <c r="D17" s="120">
        <f>D12*22%</f>
        <v>20116.8</v>
      </c>
      <c r="E17" s="235" t="s">
        <v>276</v>
      </c>
    </row>
    <row r="18" spans="1:5" ht="48" thickBot="1" x14ac:dyDescent="0.3">
      <c r="A18" s="102" t="s">
        <v>283</v>
      </c>
      <c r="B18" s="126" t="s">
        <v>109</v>
      </c>
      <c r="C18" s="121">
        <v>2016.52</v>
      </c>
      <c r="D18" s="121">
        <f>Амортизація!F15</f>
        <v>10597.421499999999</v>
      </c>
      <c r="E18" s="236" t="s">
        <v>416</v>
      </c>
    </row>
    <row r="20" spans="1:5" ht="54.6" customHeight="1" x14ac:dyDescent="0.25"/>
    <row r="21" spans="1:5" ht="15.75" x14ac:dyDescent="0.25">
      <c r="A21" s="62"/>
      <c r="B21" s="297" t="s">
        <v>205</v>
      </c>
      <c r="C21" s="298" t="s">
        <v>206</v>
      </c>
      <c r="D21" s="298"/>
      <c r="E21" s="298"/>
    </row>
    <row r="22" spans="1:5" ht="15.75" x14ac:dyDescent="0.25">
      <c r="A22" s="62"/>
      <c r="B22" s="297"/>
      <c r="C22" s="63" t="s">
        <v>158</v>
      </c>
      <c r="D22" s="298" t="s">
        <v>159</v>
      </c>
      <c r="E22" s="298"/>
    </row>
    <row r="23" spans="1:5" ht="15.75" x14ac:dyDescent="0.25">
      <c r="A23" s="62"/>
      <c r="B23" s="64"/>
      <c r="C23" s="14" t="s">
        <v>160</v>
      </c>
      <c r="D23" s="62"/>
      <c r="E23" s="62"/>
    </row>
    <row r="24" spans="1:5" ht="15.75" x14ac:dyDescent="0.25">
      <c r="A24" s="62"/>
      <c r="B24" s="62"/>
      <c r="C24" s="62"/>
      <c r="D24" s="62"/>
      <c r="E24" s="62"/>
    </row>
  </sheetData>
  <mergeCells count="4">
    <mergeCell ref="A1:E1"/>
    <mergeCell ref="B21:B22"/>
    <mergeCell ref="C21:E21"/>
    <mergeCell ref="D22:E22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Заява</vt:lpstr>
      <vt:lpstr>Річний план</vt:lpstr>
      <vt:lpstr>Обсяги факт</vt:lpstr>
      <vt:lpstr>Структура</vt:lpstr>
      <vt:lpstr>Розрахунок</vt:lpstr>
      <vt:lpstr>Штатний</vt:lpstr>
      <vt:lpstr>ФОП</vt:lpstr>
      <vt:lpstr>Адмінистр.витр.</vt:lpstr>
      <vt:lpstr>Прямі витр.</vt:lpstr>
      <vt:lpstr>Електроенергія</vt:lpstr>
      <vt:lpstr>Амортизація</vt:lpstr>
      <vt:lpstr>титульна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</dc:creator>
  <cp:lastModifiedBy>Work</cp:lastModifiedBy>
  <cp:lastPrinted>2023-02-21T08:31:51Z</cp:lastPrinted>
  <dcterms:created xsi:type="dcterms:W3CDTF">2023-02-08T17:44:01Z</dcterms:created>
  <dcterms:modified xsi:type="dcterms:W3CDTF">2023-03-20T08:02:53Z</dcterms:modified>
</cp:coreProperties>
</file>